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ink/ink1.xml" ContentType="application/inkml+xml"/>
  <Override PartName="/xl/drawings/drawing4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drawings/drawing6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7.xml" ContentType="application/vnd.openxmlformats-officedocument.drawing+xml"/>
  <Override PartName="/xl/tables/table16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yler\Downloads\"/>
    </mc:Choice>
  </mc:AlternateContent>
  <xr:revisionPtr revIDLastSave="0" documentId="8_{21B73EBB-32AA-4332-9819-09EE17A089A9}" xr6:coauthVersionLast="47" xr6:coauthVersionMax="47" xr10:uidLastSave="{00000000-0000-0000-0000-000000000000}"/>
  <bookViews>
    <workbookView xWindow="-120" yWindow="-120" windowWidth="29040" windowHeight="16440" tabRatio="854" xr2:uid="{7D92A11F-0F1B-4854-A516-CECB39F85238}"/>
  </bookViews>
  <sheets>
    <sheet name="In and Out" sheetId="4" r:id="rId1"/>
    <sheet name="Aero Force Calculations" sheetId="7" r:id="rId2"/>
    <sheet name="Bolt Sizing" sheetId="10" r:id="rId3"/>
    <sheet name="Strut Sizing" sheetId="15" r:id="rId4"/>
    <sheet name="Snatch Force" sheetId="9" r:id="rId5"/>
    <sheet name="Laminator Calcs" sheetId="11" r:id="rId6"/>
    <sheet name="U-bolt Calcs" sheetId="13" r:id="rId7"/>
    <sheet name="Vent Hole Calc" sheetId="14" r:id="rId8"/>
    <sheet name="Fin Flutter Calc" sheetId="6" r:id="rId9"/>
    <sheet name="G10 Ammount" sheetId="16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7" l="1"/>
  <c r="V9" i="15" a="1"/>
  <c r="V9" i="15" s="1"/>
  <c r="AK39" i="15"/>
  <c r="M32" i="11"/>
  <c r="Z56" i="11"/>
  <c r="M33" i="11"/>
  <c r="AA52" i="11"/>
  <c r="M34" i="11"/>
  <c r="P49" i="11" l="1"/>
  <c r="T49" i="11"/>
  <c r="M71" i="11"/>
  <c r="G71" i="11"/>
  <c r="R150" i="7"/>
  <c r="Q41" i="11"/>
  <c r="E72" i="11"/>
  <c r="F72" i="11" s="1"/>
  <c r="E73" i="11"/>
  <c r="F73" i="11" s="1"/>
  <c r="E74" i="11"/>
  <c r="F74" i="11" s="1"/>
  <c r="E75" i="11"/>
  <c r="F75" i="11" s="1"/>
  <c r="E76" i="11"/>
  <c r="F76" i="11" s="1"/>
  <c r="E77" i="11"/>
  <c r="F77" i="11" s="1"/>
  <c r="E78" i="11"/>
  <c r="F78" i="11" s="1"/>
  <c r="E79" i="11"/>
  <c r="F79" i="11" s="1"/>
  <c r="E71" i="11"/>
  <c r="F71" i="11" s="1"/>
  <c r="J151" i="7"/>
  <c r="K151" i="7" s="1"/>
  <c r="J152" i="7"/>
  <c r="K152" i="7" s="1"/>
  <c r="J157" i="7"/>
  <c r="K157" i="7" s="1"/>
  <c r="J158" i="7"/>
  <c r="K158" i="7" s="1"/>
  <c r="Q49" i="11"/>
  <c r="P52" i="11" s="1"/>
  <c r="P53" i="11" s="1"/>
  <c r="I8" i="9"/>
  <c r="F45" i="6"/>
  <c r="L38" i="11"/>
  <c r="L150" i="7"/>
  <c r="K159" i="7"/>
  <c r="K160" i="7"/>
  <c r="J154" i="7"/>
  <c r="K154" i="7" s="1"/>
  <c r="J155" i="7"/>
  <c r="K155" i="7" s="1"/>
  <c r="J156" i="7"/>
  <c r="K156" i="7" s="1"/>
  <c r="J153" i="7"/>
  <c r="K153" i="7" s="1"/>
  <c r="J150" i="7"/>
  <c r="K150" i="7" s="1"/>
  <c r="R6" i="16"/>
  <c r="S6" i="16" s="1"/>
  <c r="T6" i="16" s="1"/>
  <c r="E9" i="16"/>
  <c r="E4" i="16"/>
  <c r="E5" i="16"/>
  <c r="E6" i="16"/>
  <c r="E7" i="16"/>
  <c r="E8" i="16"/>
  <c r="M5" i="16"/>
  <c r="M6" i="16"/>
  <c r="M7" i="16"/>
  <c r="M8" i="16"/>
  <c r="M9" i="16"/>
  <c r="N5" i="16"/>
  <c r="N6" i="16"/>
  <c r="N7" i="16"/>
  <c r="N8" i="16"/>
  <c r="N9" i="16"/>
  <c r="M4" i="16"/>
  <c r="N4" i="16"/>
  <c r="N3" i="16"/>
  <c r="M3" i="16"/>
  <c r="E3" i="16"/>
  <c r="Q42" i="11"/>
  <c r="P38" i="11"/>
  <c r="M37" i="11"/>
  <c r="M36" i="11"/>
  <c r="M35" i="11"/>
  <c r="Q34" i="11"/>
  <c r="Q33" i="11"/>
  <c r="Q32" i="11"/>
  <c r="R12" i="10"/>
  <c r="H11" i="10" s="1"/>
  <c r="G36" i="10" s="1" a="1"/>
  <c r="G36" i="10" s="1"/>
  <c r="E129" i="10" a="1"/>
  <c r="E129" i="10" s="1"/>
  <c r="AL39" i="15"/>
  <c r="AK26" i="15"/>
  <c r="AJ30" i="15"/>
  <c r="AI33" i="15" s="1"/>
  <c r="AJ33" i="15" s="1"/>
  <c r="AJ26" i="15" s="1"/>
  <c r="AK20" i="15"/>
  <c r="AJ9" i="15"/>
  <c r="AK9" i="15" s="1"/>
  <c r="W36" i="15"/>
  <c r="AI9" i="15"/>
  <c r="F5" i="15" s="1"/>
  <c r="W9" i="15" a="1"/>
  <c r="W9" i="15" s="1"/>
  <c r="X9" i="15" s="1" a="1"/>
  <c r="X9" i="15" s="1"/>
  <c r="G20" i="15"/>
  <c r="E5" i="15"/>
  <c r="S45" i="11"/>
  <c r="S42" i="11"/>
  <c r="B22" i="14" a="1"/>
  <c r="B22" i="14" s="1"/>
  <c r="E6" i="14"/>
  <c r="F12" i="14"/>
  <c r="F13" i="14"/>
  <c r="F14" i="14"/>
  <c r="E12" i="14"/>
  <c r="G12" i="14" s="1"/>
  <c r="E13" i="14"/>
  <c r="G13" i="14" s="1"/>
  <c r="E14" i="14"/>
  <c r="G14" i="14" s="1"/>
  <c r="C11" i="14"/>
  <c r="F8" i="11"/>
  <c r="R78" i="4" s="1"/>
  <c r="J7" i="7" s="1"/>
  <c r="G114" i="7" s="1"/>
  <c r="G129" i="7"/>
  <c r="F137" i="10" a="1"/>
  <c r="F137" i="10" s="1"/>
  <c r="E93" i="4"/>
  <c r="C33" i="6"/>
  <c r="F138" i="10" a="1"/>
  <c r="F138" i="10" s="1"/>
  <c r="F139" i="10" a="1"/>
  <c r="F139" i="10" s="1"/>
  <c r="F140" i="10" a="1"/>
  <c r="F140" i="10" s="1"/>
  <c r="F141" i="10" a="1"/>
  <c r="F141" i="10" s="1"/>
  <c r="F142" i="10" a="1"/>
  <c r="F142" i="10" s="1"/>
  <c r="F143" i="10" a="1"/>
  <c r="F143" i="10" s="1"/>
  <c r="F144" i="10" a="1"/>
  <c r="F144" i="10" s="1"/>
  <c r="F145" i="10" a="1"/>
  <c r="F145" i="10" s="1"/>
  <c r="F146" i="10" a="1"/>
  <c r="F146" i="10" s="1"/>
  <c r="F147" i="10" a="1"/>
  <c r="F147" i="10" s="1"/>
  <c r="F148" i="10" a="1"/>
  <c r="F148" i="10" s="1"/>
  <c r="O132" i="10"/>
  <c r="I22" i="13"/>
  <c r="E22" i="13"/>
  <c r="F22" i="13"/>
  <c r="I15" i="13"/>
  <c r="D22" i="13" s="1"/>
  <c r="D27" i="13"/>
  <c r="E49" i="13"/>
  <c r="D31" i="13"/>
  <c r="G31" i="13"/>
  <c r="E12" i="13"/>
  <c r="E66" i="13" s="1" a="1"/>
  <c r="E66" i="13" s="1"/>
  <c r="F12" i="13"/>
  <c r="I12" i="13"/>
  <c r="K31" i="13" s="1" a="1"/>
  <c r="K31" i="13" s="1"/>
  <c r="J12" i="13"/>
  <c r="K12" i="13"/>
  <c r="F66" i="13" s="1" a="1"/>
  <c r="F66" i="13" s="1"/>
  <c r="O46" i="9"/>
  <c r="M78" i="9" s="1" a="1"/>
  <c r="M78" i="9" s="1"/>
  <c r="K52" i="9"/>
  <c r="N46" i="9"/>
  <c r="H52" i="9"/>
  <c r="L63" i="9"/>
  <c r="M46" i="9"/>
  <c r="O52" i="9" s="1" a="1"/>
  <c r="O52" i="9" s="1"/>
  <c r="J46" i="9"/>
  <c r="I46" i="9"/>
  <c r="K63" i="9" s="1" a="1"/>
  <c r="K63" i="9" s="1"/>
  <c r="H34" i="9"/>
  <c r="L34" i="9" s="1"/>
  <c r="C39" i="11"/>
  <c r="E13" i="11" s="1"/>
  <c r="F13" i="11" s="1"/>
  <c r="H13" i="11" s="1"/>
  <c r="C90" i="10"/>
  <c r="D90" i="10" s="1"/>
  <c r="C86" i="10"/>
  <c r="P9" i="10"/>
  <c r="P10" i="10"/>
  <c r="Q9" i="10"/>
  <c r="Q10" i="10"/>
  <c r="D44" i="10"/>
  <c r="P13" i="10"/>
  <c r="P15" i="10"/>
  <c r="P16" i="10"/>
  <c r="Q13" i="10"/>
  <c r="Q15" i="10"/>
  <c r="Q16" i="10"/>
  <c r="P14" i="10"/>
  <c r="Q14" i="10"/>
  <c r="I11" i="10"/>
  <c r="C36" i="10"/>
  <c r="C13" i="11"/>
  <c r="E11" i="10"/>
  <c r="D11" i="10"/>
  <c r="C44" i="10" s="1" a="1"/>
  <c r="C44" i="10" s="1"/>
  <c r="Q12" i="10"/>
  <c r="Q11" i="10"/>
  <c r="P12" i="10"/>
  <c r="P11" i="10"/>
  <c r="I7" i="7"/>
  <c r="H7" i="7"/>
  <c r="G7" i="7"/>
  <c r="F114" i="7"/>
  <c r="I7" i="10"/>
  <c r="H7" i="10"/>
  <c r="G7" i="10"/>
  <c r="M38" i="11" l="1"/>
  <c r="Q43" i="11"/>
  <c r="P45" i="11" s="1"/>
  <c r="P46" i="11" s="1"/>
  <c r="H71" i="11"/>
  <c r="I71" i="11" s="1"/>
  <c r="I75" i="11" s="1"/>
  <c r="J75" i="11" s="1"/>
  <c r="L75" i="11" s="1"/>
  <c r="Q38" i="11"/>
  <c r="O9" i="16"/>
  <c r="P9" i="16" s="1"/>
  <c r="O8" i="16"/>
  <c r="P8" i="16" s="1"/>
  <c r="O3" i="16"/>
  <c r="P3" i="16" s="1"/>
  <c r="M150" i="7"/>
  <c r="N150" i="7" s="1"/>
  <c r="N154" i="7" s="1"/>
  <c r="O154" i="7" s="1"/>
  <c r="Q154" i="7" s="1"/>
  <c r="O7" i="16"/>
  <c r="P7" i="16" s="1"/>
  <c r="O6" i="16"/>
  <c r="P6" i="16" s="1"/>
  <c r="O5" i="16"/>
  <c r="P5" i="16" s="1"/>
  <c r="O4" i="16"/>
  <c r="P4" i="16" s="1"/>
  <c r="Y9" i="15"/>
  <c r="Z9" i="15" s="1"/>
  <c r="AC24" i="15" s="1" a="1"/>
  <c r="AC24" i="15" s="1"/>
  <c r="G66" i="13"/>
  <c r="H22" i="13"/>
  <c r="V40" i="15" a="1"/>
  <c r="V40" i="15" s="1"/>
  <c r="U40" i="15" a="1"/>
  <c r="U40" i="15" s="1"/>
  <c r="W40" i="15" s="1" a="1"/>
  <c r="W40" i="15" s="1"/>
  <c r="V24" i="15" a="1"/>
  <c r="V24" i="15" s="1"/>
  <c r="U28" i="15" a="1"/>
  <c r="U28" i="15" s="1"/>
  <c r="V28" i="15" a="1"/>
  <c r="V28" i="15" s="1"/>
  <c r="U32" i="15" a="1"/>
  <c r="U32" i="15" s="1"/>
  <c r="V32" i="15" a="1"/>
  <c r="V32" i="15" s="1"/>
  <c r="U20" i="15" a="1"/>
  <c r="U20" i="15" s="1"/>
  <c r="U24" i="15" a="1"/>
  <c r="U24" i="15" s="1"/>
  <c r="V20" i="15" a="1"/>
  <c r="V20" i="15" s="1"/>
  <c r="E20" i="15"/>
  <c r="F11" i="14"/>
  <c r="E11" i="14"/>
  <c r="G11" i="14" s="1"/>
  <c r="C22" i="14" s="1" a="1"/>
  <c r="C22" i="14" s="1"/>
  <c r="G122" i="7"/>
  <c r="F11" i="10"/>
  <c r="G12" i="13"/>
  <c r="K46" i="9"/>
  <c r="G11" i="10"/>
  <c r="H12" i="13"/>
  <c r="I31" i="13" s="1" a="1"/>
  <c r="I31" i="13" s="1"/>
  <c r="L46" i="9"/>
  <c r="M52" i="9" s="1" a="1"/>
  <c r="M52" i="9" s="1"/>
  <c r="D49" i="13" a="1"/>
  <c r="D49" i="13" s="1"/>
  <c r="L78" i="9" a="1"/>
  <c r="L78" i="9" s="1"/>
  <c r="N78" i="9" s="1"/>
  <c r="F97" i="10" a="1"/>
  <c r="F97" i="10" s="1"/>
  <c r="G97" i="10" s="1"/>
  <c r="G50" i="10" a="1"/>
  <c r="G50" i="10" s="1"/>
  <c r="C58" i="10" a="1"/>
  <c r="C58" i="10" s="1"/>
  <c r="F100" i="10" a="1"/>
  <c r="F100" i="10" s="1"/>
  <c r="F7" i="10"/>
  <c r="H114" i="7"/>
  <c r="N74" i="4" s="1"/>
  <c r="E18" i="10" s="1"/>
  <c r="G118" i="7"/>
  <c r="E16" i="7"/>
  <c r="E38" i="7" s="1"/>
  <c r="G94" i="4"/>
  <c r="K93" i="4" s="1"/>
  <c r="D86" i="10"/>
  <c r="D22" i="10"/>
  <c r="H8" i="9"/>
  <c r="C14" i="11"/>
  <c r="C15" i="11"/>
  <c r="C16" i="11"/>
  <c r="C17" i="11"/>
  <c r="C18" i="11"/>
  <c r="I141" i="7"/>
  <c r="J141" i="7" s="1"/>
  <c r="H4" i="11"/>
  <c r="E4" i="11"/>
  <c r="N4" i="9"/>
  <c r="O4" i="9" s="1"/>
  <c r="O5" i="9" s="1"/>
  <c r="L8" i="9" s="1"/>
  <c r="J4" i="9"/>
  <c r="M4" i="9" s="1"/>
  <c r="I4" i="9"/>
  <c r="K3" i="7"/>
  <c r="E45" i="7" s="1"/>
  <c r="K5" i="7"/>
  <c r="B138" i="4"/>
  <c r="B135" i="4"/>
  <c r="B131" i="4"/>
  <c r="E7" i="7"/>
  <c r="F7" i="7"/>
  <c r="D7" i="7"/>
  <c r="E5" i="7"/>
  <c r="F5" i="7"/>
  <c r="D16" i="7" s="1"/>
  <c r="E31" i="7" s="1"/>
  <c r="G5" i="7"/>
  <c r="H5" i="7"/>
  <c r="I5" i="7"/>
  <c r="J5" i="7"/>
  <c r="D5" i="7"/>
  <c r="E122" i="7" s="1"/>
  <c r="E3" i="7"/>
  <c r="E27" i="7" s="1"/>
  <c r="F3" i="7"/>
  <c r="G3" i="7"/>
  <c r="F16" i="7" s="1"/>
  <c r="H3" i="7"/>
  <c r="G31" i="7" s="1"/>
  <c r="I3" i="7"/>
  <c r="G38" i="7" s="1"/>
  <c r="J3" i="7"/>
  <c r="E42" i="7" s="1"/>
  <c r="F27" i="7"/>
  <c r="F3" i="6"/>
  <c r="G34" i="6"/>
  <c r="G33" i="6"/>
  <c r="G35" i="6" s="1"/>
  <c r="G36" i="6"/>
  <c r="G37" i="6" s="1"/>
  <c r="A7" i="6"/>
  <c r="C5" i="6" s="1"/>
  <c r="C1" i="6"/>
  <c r="J3" i="6"/>
  <c r="I3" i="6"/>
  <c r="E3" i="6"/>
  <c r="E40" i="10" l="1" a="1"/>
  <c r="E40" i="10" s="1"/>
  <c r="A6" i="9"/>
  <c r="L46" i="11"/>
  <c r="L47" i="11" s="1"/>
  <c r="L48" i="11" s="1"/>
  <c r="K57" i="11" s="1"/>
  <c r="A9" i="9"/>
  <c r="B9" i="9" s="1"/>
  <c r="D9" i="9" s="1"/>
  <c r="L41" i="11"/>
  <c r="L42" i="11" s="1"/>
  <c r="B148" i="7"/>
  <c r="AC20" i="15" a="1"/>
  <c r="AC20" i="15" s="1"/>
  <c r="H16" i="7"/>
  <c r="I16" i="7" s="1"/>
  <c r="G38" i="6"/>
  <c r="G39" i="6" s="1"/>
  <c r="G40" i="6" s="1"/>
  <c r="G27" i="7"/>
  <c r="H27" i="7" s="1"/>
  <c r="N48" i="4" s="1"/>
  <c r="G1" i="6"/>
  <c r="K1" i="6"/>
  <c r="G6" i="14"/>
  <c r="W28" i="15"/>
  <c r="W32" i="15"/>
  <c r="AA44" i="15" s="1"/>
  <c r="AB44" i="15" s="1"/>
  <c r="A20" i="9"/>
  <c r="P4" i="9"/>
  <c r="S38" i="11"/>
  <c r="W24" i="15"/>
  <c r="W20" i="15"/>
  <c r="V44" i="15" s="1"/>
  <c r="W44" i="15" s="1"/>
  <c r="E54" i="10" a="1"/>
  <c r="E54" i="10" s="1"/>
  <c r="E100" i="10"/>
  <c r="F126" i="10"/>
  <c r="D50" i="10"/>
  <c r="D54" i="10"/>
  <c r="G85" i="7"/>
  <c r="F102" i="7"/>
  <c r="D36" i="10"/>
  <c r="D40" i="10"/>
  <c r="D125" i="7"/>
  <c r="C22" i="11"/>
  <c r="C23" i="11" s="1"/>
  <c r="C24" i="11" s="1"/>
  <c r="B46" i="11" s="1"/>
  <c r="F122" i="7"/>
  <c r="H122" i="7" s="1"/>
  <c r="G125" i="7" s="1"/>
  <c r="B20" i="9"/>
  <c r="C42" i="7"/>
  <c r="C45" i="7" s="1"/>
  <c r="D42" i="7"/>
  <c r="D45" i="7" s="1"/>
  <c r="F42" i="7"/>
  <c r="F45" i="7" s="1"/>
  <c r="F31" i="7"/>
  <c r="F38" i="7"/>
  <c r="E7" i="6"/>
  <c r="AM8" i="7" l="1"/>
  <c r="Z8" i="7"/>
  <c r="AK9" i="7" s="1"/>
  <c r="AK10" i="7" s="1"/>
  <c r="AK11" i="7" s="1"/>
  <c r="AK12" i="7" s="1"/>
  <c r="G12" i="6"/>
  <c r="AB20" i="15"/>
  <c r="AB24" i="15"/>
  <c r="AJ20" i="15"/>
  <c r="G100" i="10"/>
  <c r="H83" i="4" s="1"/>
  <c r="I13" i="11"/>
  <c r="E17" i="11" s="1"/>
  <c r="D46" i="11"/>
  <c r="F46" i="11" s="1"/>
  <c r="F50" i="11" s="1"/>
  <c r="B6" i="9"/>
  <c r="E60" i="7"/>
  <c r="J16" i="7"/>
  <c r="G45" i="7"/>
  <c r="H45" i="7" s="1"/>
  <c r="R48" i="4" s="1"/>
  <c r="N70" i="4"/>
  <c r="D18" i="10" s="1"/>
  <c r="G42" i="7"/>
  <c r="H42" i="7" s="1"/>
  <c r="Q48" i="4" s="1"/>
  <c r="E22" i="10" s="1"/>
  <c r="D31" i="7"/>
  <c r="D38" i="7"/>
  <c r="H38" i="7" s="1"/>
  <c r="E81" i="7"/>
  <c r="D75" i="7"/>
  <c r="D68" i="7"/>
  <c r="G64" i="7"/>
  <c r="F49" i="7"/>
  <c r="F52" i="7"/>
  <c r="F56" i="7"/>
  <c r="AM9" i="7" l="1"/>
  <c r="AM10" i="7" s="1"/>
  <c r="AM11" i="7" s="1"/>
  <c r="AM12" i="7" s="1"/>
  <c r="AM13" i="7" s="1"/>
  <c r="AM14" i="7" s="1"/>
  <c r="AM15" i="7" s="1"/>
  <c r="AM16" i="7" s="1"/>
  <c r="AM17" i="7" s="1"/>
  <c r="AM18" i="7" s="1"/>
  <c r="AM19" i="7" s="1"/>
  <c r="AM20" i="7" s="1"/>
  <c r="AM21" i="7" s="1"/>
  <c r="AM22" i="7" s="1"/>
  <c r="AM23" i="7" s="1"/>
  <c r="AM24" i="7" s="1"/>
  <c r="AM25" i="7" s="1"/>
  <c r="AM26" i="7" s="1"/>
  <c r="AM27" i="7" s="1"/>
  <c r="AM28" i="7" s="1"/>
  <c r="AM29" i="7" s="1"/>
  <c r="AM30" i="7" s="1"/>
  <c r="AM31" i="7" s="1"/>
  <c r="AM32" i="7" s="1"/>
  <c r="AM33" i="7" s="1"/>
  <c r="AM34" i="7" s="1"/>
  <c r="AM35" i="7" s="1"/>
  <c r="AM36" i="7" s="1"/>
  <c r="AM37" i="7" s="1"/>
  <c r="AM38" i="7" s="1"/>
  <c r="AM39" i="7" s="1"/>
  <c r="AM40" i="7" s="1"/>
  <c r="AM41" i="7" s="1"/>
  <c r="AM42" i="7" s="1"/>
  <c r="AM43" i="7" s="1"/>
  <c r="AM44" i="7" s="1"/>
  <c r="AM45" i="7" s="1"/>
  <c r="AM46" i="7" s="1"/>
  <c r="AM47" i="7" s="1"/>
  <c r="AM48" i="7" s="1"/>
  <c r="AM49" i="7" s="1"/>
  <c r="AM50" i="7" s="1"/>
  <c r="AM51" i="7" s="1"/>
  <c r="AM52" i="7" s="1"/>
  <c r="AM53" i="7" s="1"/>
  <c r="AM54" i="7" s="1"/>
  <c r="AM55" i="7" s="1"/>
  <c r="AM56" i="7" s="1"/>
  <c r="AM57" i="7" s="1"/>
  <c r="AM58" i="7" s="1"/>
  <c r="AM59" i="7" s="1"/>
  <c r="AM60" i="7" s="1"/>
  <c r="AM61" i="7" s="1"/>
  <c r="AM62" i="7" s="1"/>
  <c r="AM63" i="7" s="1"/>
  <c r="AM64" i="7" s="1"/>
  <c r="AM65" i="7" s="1"/>
  <c r="AM66" i="7" s="1"/>
  <c r="AM67" i="7" s="1"/>
  <c r="AM68" i="7" s="1"/>
  <c r="AM69" i="7" s="1"/>
  <c r="AM70" i="7" s="1"/>
  <c r="AM71" i="7" s="1"/>
  <c r="AM72" i="7" s="1"/>
  <c r="AM73" i="7" s="1"/>
  <c r="AM74" i="7" s="1"/>
  <c r="AM75" i="7" s="1"/>
  <c r="AM76" i="7" s="1"/>
  <c r="AM77" i="7" s="1"/>
  <c r="AM78" i="7" s="1"/>
  <c r="AM79" i="7" s="1"/>
  <c r="AM80" i="7" s="1"/>
  <c r="AM81" i="7" s="1"/>
  <c r="AM82" i="7" s="1"/>
  <c r="AM83" i="7" s="1"/>
  <c r="AM84" i="7" s="1"/>
  <c r="AM85" i="7" s="1"/>
  <c r="AM86" i="7" s="1"/>
  <c r="AM87" i="7" s="1"/>
  <c r="AM88" i="7" s="1"/>
  <c r="AM89" i="7" s="1"/>
  <c r="AM90" i="7" s="1"/>
  <c r="AM91" i="7" s="1"/>
  <c r="AM92" i="7" s="1"/>
  <c r="AM93" i="7" s="1"/>
  <c r="AM94" i="7" s="1"/>
  <c r="AM95" i="7" s="1"/>
  <c r="AM96" i="7" s="1"/>
  <c r="AM97" i="7" s="1"/>
  <c r="AM98" i="7" s="1"/>
  <c r="AM99" i="7" s="1"/>
  <c r="AM100" i="7" s="1"/>
  <c r="AM101" i="7" s="1"/>
  <c r="AM102" i="7" s="1"/>
  <c r="AM103" i="7" s="1"/>
  <c r="AM104" i="7" s="1"/>
  <c r="AM105" i="7" s="1"/>
  <c r="AM106" i="7" s="1"/>
  <c r="AM107" i="7" s="1"/>
  <c r="AM108" i="7" s="1"/>
  <c r="AM109" i="7" s="1"/>
  <c r="AM110" i="7" s="1"/>
  <c r="AM111" i="7" s="1"/>
  <c r="AM112" i="7" s="1"/>
  <c r="AM113" i="7" s="1"/>
  <c r="AM114" i="7" s="1"/>
  <c r="AM115" i="7" s="1"/>
  <c r="AM116" i="7" s="1"/>
  <c r="AM117" i="7" s="1"/>
  <c r="AM118" i="7" s="1"/>
  <c r="AM119" i="7" s="1"/>
  <c r="AM120" i="7" s="1"/>
  <c r="AM121" i="7" s="1"/>
  <c r="AM122" i="7" s="1"/>
  <c r="AM123" i="7" s="1"/>
  <c r="AM124" i="7" s="1"/>
  <c r="AM125" i="7" s="1"/>
  <c r="AM126" i="7" s="1"/>
  <c r="AM127" i="7" s="1"/>
  <c r="AM128" i="7" s="1"/>
  <c r="AM129" i="7" s="1"/>
  <c r="AM130" i="7" s="1"/>
  <c r="AM131" i="7" s="1"/>
  <c r="AM132" i="7" s="1"/>
  <c r="AM133" i="7" s="1"/>
  <c r="AM134" i="7" s="1"/>
  <c r="AM135" i="7" s="1"/>
  <c r="AM136" i="7" s="1"/>
  <c r="AM137" i="7" s="1"/>
  <c r="AM138" i="7" s="1"/>
  <c r="AM139" i="7" s="1"/>
  <c r="AM140" i="7" s="1"/>
  <c r="AM141" i="7" s="1"/>
  <c r="AM142" i="7" s="1"/>
  <c r="AM143" i="7" s="1"/>
  <c r="AM144" i="7" s="1"/>
  <c r="AM145" i="7" s="1"/>
  <c r="AM146" i="7" s="1"/>
  <c r="AM147" i="7" s="1"/>
  <c r="AM148" i="7" s="1"/>
  <c r="AM149" i="7" s="1"/>
  <c r="AM150" i="7" s="1"/>
  <c r="AM151" i="7" s="1"/>
  <c r="AM152" i="7" s="1"/>
  <c r="AM153" i="7" s="1"/>
  <c r="AM154" i="7" s="1"/>
  <c r="AM155" i="7" s="1"/>
  <c r="AM156" i="7" s="1"/>
  <c r="AM157" i="7" s="1"/>
  <c r="AM158" i="7" s="1"/>
  <c r="AM159" i="7" s="1"/>
  <c r="AM160" i="7" s="1"/>
  <c r="AM161" i="7" s="1"/>
  <c r="AM162" i="7" s="1"/>
  <c r="AM163" i="7" s="1"/>
  <c r="AM164" i="7" s="1"/>
  <c r="AM165" i="7" s="1"/>
  <c r="AM166" i="7" s="1"/>
  <c r="AM167" i="7" s="1"/>
  <c r="AM168" i="7" s="1"/>
  <c r="AM169" i="7" s="1"/>
  <c r="AM170" i="7" s="1"/>
  <c r="AM171" i="7" s="1"/>
  <c r="AM172" i="7" s="1"/>
  <c r="AM173" i="7" s="1"/>
  <c r="AM174" i="7" s="1"/>
  <c r="AM175" i="7" s="1"/>
  <c r="AM176" i="7" s="1"/>
  <c r="AM177" i="7" s="1"/>
  <c r="AM178" i="7" s="1"/>
  <c r="AM179" i="7" s="1"/>
  <c r="AM180" i="7" s="1"/>
  <c r="AM181" i="7" s="1"/>
  <c r="AM182" i="7" s="1"/>
  <c r="AM183" i="7" s="1"/>
  <c r="AM184" i="7" s="1"/>
  <c r="AM185" i="7" s="1"/>
  <c r="AM186" i="7" s="1"/>
  <c r="AM187" i="7" s="1"/>
  <c r="AM188" i="7" s="1"/>
  <c r="X9" i="7"/>
  <c r="X10" i="7" s="1"/>
  <c r="X11" i="7" s="1"/>
  <c r="C83" i="4"/>
  <c r="I126" i="10"/>
  <c r="O98" i="4"/>
  <c r="D6" i="9"/>
  <c r="O78" i="9" s="1"/>
  <c r="P78" i="9" s="1"/>
  <c r="R78" i="9" s="1"/>
  <c r="G22" i="13"/>
  <c r="AK13" i="7"/>
  <c r="Z9" i="7"/>
  <c r="Z10" i="7" s="1"/>
  <c r="Z11" i="7" s="1"/>
  <c r="Z12" i="7" s="1"/>
  <c r="Z13" i="7" s="1"/>
  <c r="Z14" i="7" s="1"/>
  <c r="Z15" i="7" s="1"/>
  <c r="Z16" i="7" s="1"/>
  <c r="Z17" i="7" s="1"/>
  <c r="Z18" i="7" s="1"/>
  <c r="Z19" i="7" s="1"/>
  <c r="Z20" i="7" s="1"/>
  <c r="Z21" i="7" s="1"/>
  <c r="Z22" i="7" s="1"/>
  <c r="Z23" i="7" s="1"/>
  <c r="Z24" i="7" s="1"/>
  <c r="Z25" i="7" s="1"/>
  <c r="Z26" i="7" s="1"/>
  <c r="Z27" i="7" s="1"/>
  <c r="Z28" i="7" s="1"/>
  <c r="Z29" i="7" s="1"/>
  <c r="Z30" i="7" s="1"/>
  <c r="Z31" i="7" s="1"/>
  <c r="Z32" i="7" s="1"/>
  <c r="Z33" i="7" s="1"/>
  <c r="Z34" i="7" s="1"/>
  <c r="Z35" i="7" s="1"/>
  <c r="Z36" i="7" s="1"/>
  <c r="Z37" i="7" s="1"/>
  <c r="Z38" i="7" s="1"/>
  <c r="Z39" i="7" s="1"/>
  <c r="Z40" i="7" s="1"/>
  <c r="Z41" i="7" s="1"/>
  <c r="Z42" i="7" s="1"/>
  <c r="Z43" i="7" s="1"/>
  <c r="Z44" i="7" s="1"/>
  <c r="Z45" i="7" s="1"/>
  <c r="Z46" i="7" s="1"/>
  <c r="Z47" i="7" s="1"/>
  <c r="Z48" i="7" s="1"/>
  <c r="Z49" i="7" s="1"/>
  <c r="Z50" i="7" s="1"/>
  <c r="Z51" i="7" s="1"/>
  <c r="Z52" i="7" s="1"/>
  <c r="Z53" i="7" s="1"/>
  <c r="Z54" i="7" s="1"/>
  <c r="Z55" i="7" s="1"/>
  <c r="Z56" i="7" s="1"/>
  <c r="Z57" i="7" s="1"/>
  <c r="Z58" i="7" s="1"/>
  <c r="Z59" i="7" s="1"/>
  <c r="Z60" i="7" s="1"/>
  <c r="Z61" i="7" s="1"/>
  <c r="Z62" i="7" s="1"/>
  <c r="Z63" i="7" s="1"/>
  <c r="Z64" i="7" s="1"/>
  <c r="Z65" i="7" s="1"/>
  <c r="Z66" i="7" s="1"/>
  <c r="Z67" i="7" s="1"/>
  <c r="Z68" i="7" s="1"/>
  <c r="Z69" i="7" s="1"/>
  <c r="Z70" i="7" s="1"/>
  <c r="Z71" i="7" s="1"/>
  <c r="Z72" i="7" s="1"/>
  <c r="Z73" i="7" s="1"/>
  <c r="Z74" i="7" s="1"/>
  <c r="Z75" i="7" s="1"/>
  <c r="Z76" i="7" s="1"/>
  <c r="Z77" i="7" s="1"/>
  <c r="Z78" i="7" s="1"/>
  <c r="Z79" i="7" s="1"/>
  <c r="Z80" i="7" s="1"/>
  <c r="Z81" i="7" s="1"/>
  <c r="Z82" i="7" s="1"/>
  <c r="Z83" i="7" s="1"/>
  <c r="Z84" i="7" s="1"/>
  <c r="Z85" i="7" s="1"/>
  <c r="Z86" i="7" s="1"/>
  <c r="Z87" i="7" s="1"/>
  <c r="Z88" i="7" s="1"/>
  <c r="Z89" i="7" s="1"/>
  <c r="Z90" i="7" s="1"/>
  <c r="Z91" i="7" s="1"/>
  <c r="Z92" i="7" s="1"/>
  <c r="Z93" i="7" s="1"/>
  <c r="Z94" i="7" s="1"/>
  <c r="Z95" i="7" s="1"/>
  <c r="Z96" i="7" s="1"/>
  <c r="Z97" i="7" s="1"/>
  <c r="Z98" i="7" s="1"/>
  <c r="Z99" i="7" s="1"/>
  <c r="Z100" i="7" s="1"/>
  <c r="Z101" i="7" s="1"/>
  <c r="Z102" i="7" s="1"/>
  <c r="Z103" i="7" s="1"/>
  <c r="Z104" i="7" s="1"/>
  <c r="Z105" i="7" s="1"/>
  <c r="Z106" i="7" s="1"/>
  <c r="Z107" i="7" s="1"/>
  <c r="Z108" i="7" s="1"/>
  <c r="Z109" i="7" s="1"/>
  <c r="Z110" i="7" s="1"/>
  <c r="Z111" i="7" s="1"/>
  <c r="Z112" i="7" s="1"/>
  <c r="Z113" i="7" s="1"/>
  <c r="Z114" i="7" s="1"/>
  <c r="Z115" i="7" s="1"/>
  <c r="Z116" i="7" s="1"/>
  <c r="Z117" i="7" s="1"/>
  <c r="Z118" i="7" s="1"/>
  <c r="Z119" i="7" s="1"/>
  <c r="Z120" i="7" s="1"/>
  <c r="Z121" i="7" s="1"/>
  <c r="Z122" i="7" s="1"/>
  <c r="Z123" i="7" s="1"/>
  <c r="Z124" i="7" s="1"/>
  <c r="Z125" i="7" s="1"/>
  <c r="Z126" i="7" s="1"/>
  <c r="Z127" i="7" s="1"/>
  <c r="Z128" i="7" s="1"/>
  <c r="Z129" i="7" s="1"/>
  <c r="Z130" i="7" s="1"/>
  <c r="Z131" i="7" s="1"/>
  <c r="Z132" i="7" s="1"/>
  <c r="Z133" i="7" s="1"/>
  <c r="Z134" i="7" s="1"/>
  <c r="Z135" i="7" s="1"/>
  <c r="Z136" i="7" s="1"/>
  <c r="Z137" i="7" s="1"/>
  <c r="Z138" i="7" s="1"/>
  <c r="Z139" i="7" s="1"/>
  <c r="Z140" i="7" s="1"/>
  <c r="Z141" i="7" s="1"/>
  <c r="Z142" i="7" s="1"/>
  <c r="Z143" i="7" s="1"/>
  <c r="Z144" i="7" s="1"/>
  <c r="Z145" i="7" s="1"/>
  <c r="Z146" i="7" s="1"/>
  <c r="Z147" i="7" s="1"/>
  <c r="Z148" i="7" s="1"/>
  <c r="Z149" i="7" s="1"/>
  <c r="Z150" i="7" s="1"/>
  <c r="Z151" i="7" s="1"/>
  <c r="Z152" i="7" s="1"/>
  <c r="Z153" i="7" s="1"/>
  <c r="Z154" i="7" s="1"/>
  <c r="Z155" i="7" s="1"/>
  <c r="Z156" i="7" s="1"/>
  <c r="Z157" i="7" s="1"/>
  <c r="Z158" i="7" s="1"/>
  <c r="Z159" i="7" s="1"/>
  <c r="Z160" i="7" s="1"/>
  <c r="Z161" i="7" s="1"/>
  <c r="Z162" i="7" s="1"/>
  <c r="Z163" i="7" s="1"/>
  <c r="Z164" i="7" s="1"/>
  <c r="Z165" i="7" s="1"/>
  <c r="Z166" i="7" s="1"/>
  <c r="Z167" i="7" s="1"/>
  <c r="Z168" i="7" s="1"/>
  <c r="Z169" i="7" s="1"/>
  <c r="Z170" i="7" s="1"/>
  <c r="Z171" i="7" s="1"/>
  <c r="Z172" i="7" s="1"/>
  <c r="Z173" i="7" s="1"/>
  <c r="Z174" i="7" s="1"/>
  <c r="Z175" i="7" s="1"/>
  <c r="Z176" i="7" s="1"/>
  <c r="Z177" i="7" s="1"/>
  <c r="Z178" i="7" s="1"/>
  <c r="Z179" i="7" s="1"/>
  <c r="Z180" i="7" s="1"/>
  <c r="Z181" i="7" s="1"/>
  <c r="Z182" i="7" s="1"/>
  <c r="Z183" i="7" s="1"/>
  <c r="Z184" i="7" s="1"/>
  <c r="Z185" i="7" s="1"/>
  <c r="Z186" i="7" s="1"/>
  <c r="Z187" i="7" s="1"/>
  <c r="Z188" i="7" s="1"/>
  <c r="G50" i="11"/>
  <c r="H50" i="11" s="1"/>
  <c r="I50" i="11" s="1"/>
  <c r="F17" i="11"/>
  <c r="G17" i="11" s="1"/>
  <c r="J17" i="11" s="1"/>
  <c r="H31" i="7"/>
  <c r="O48" i="4" s="1"/>
  <c r="F118" i="7"/>
  <c r="H118" i="7" s="1"/>
  <c r="E49" i="7"/>
  <c r="P48" i="4"/>
  <c r="F4" i="11" s="1"/>
  <c r="E68" i="7"/>
  <c r="G49" i="7"/>
  <c r="G52" i="7"/>
  <c r="E52" i="7"/>
  <c r="I52" i="9" l="1"/>
  <c r="J52" i="9" s="1"/>
  <c r="L52" i="9" s="1"/>
  <c r="N52" i="9" s="1"/>
  <c r="P52" i="9" s="1"/>
  <c r="O83" i="4"/>
  <c r="N83" i="4" s="1"/>
  <c r="H18" i="10" s="1"/>
  <c r="F54" i="10" s="1"/>
  <c r="I42" i="9"/>
  <c r="F40" i="9"/>
  <c r="E41" i="9" s="1"/>
  <c r="K34" i="9"/>
  <c r="J42" i="9" s="1"/>
  <c r="C4" i="11"/>
  <c r="G53" i="11"/>
  <c r="AK14" i="7"/>
  <c r="X12" i="7"/>
  <c r="H66" i="13"/>
  <c r="I66" i="13" s="1"/>
  <c r="K66" i="13" s="1"/>
  <c r="E27" i="13"/>
  <c r="E31" i="13"/>
  <c r="F31" i="13" s="1"/>
  <c r="H31" i="13" s="1"/>
  <c r="J31" i="13" s="1"/>
  <c r="F27" i="13"/>
  <c r="J22" i="13"/>
  <c r="K22" i="13" s="1"/>
  <c r="E20" i="11"/>
  <c r="E56" i="7"/>
  <c r="D52" i="7"/>
  <c r="H52" i="7" s="1"/>
  <c r="F78" i="7"/>
  <c r="F72" i="7"/>
  <c r="E64" i="7"/>
  <c r="D49" i="7"/>
  <c r="G141" i="7"/>
  <c r="H141" i="7" s="1"/>
  <c r="K141" i="7" s="1"/>
  <c r="F125" i="7"/>
  <c r="B125" i="7" s="1"/>
  <c r="B126" i="7" s="1"/>
  <c r="N66" i="4"/>
  <c r="G60" i="7"/>
  <c r="E75" i="7"/>
  <c r="E50" i="10" l="1"/>
  <c r="F50" i="10" s="1"/>
  <c r="M63" i="9"/>
  <c r="N63" i="9" s="1"/>
  <c r="P63" i="9" s="1"/>
  <c r="G54" i="10" a="1"/>
  <c r="G54" i="10" s="1"/>
  <c r="H74" i="4" s="1"/>
  <c r="I18" i="10"/>
  <c r="N34" i="9"/>
  <c r="O34" i="9" s="1"/>
  <c r="H49" i="7"/>
  <c r="G56" i="7" s="1"/>
  <c r="AK15" i="7"/>
  <c r="X13" i="7"/>
  <c r="F49" i="13"/>
  <c r="G49" i="13" s="1"/>
  <c r="I49" i="13" s="1"/>
  <c r="L31" i="13"/>
  <c r="O52" i="4"/>
  <c r="D4" i="11" s="1"/>
  <c r="F75" i="7"/>
  <c r="F81" i="7"/>
  <c r="F60" i="7"/>
  <c r="K60" i="7" s="1"/>
  <c r="F68" i="7"/>
  <c r="AL10" i="7" l="1"/>
  <c r="AL11" i="7"/>
  <c r="AL12" i="7"/>
  <c r="AL13" i="7"/>
  <c r="AL8" i="7"/>
  <c r="AL14" i="7"/>
  <c r="H56" i="7"/>
  <c r="AL15" i="7"/>
  <c r="AL9" i="7"/>
  <c r="AK16" i="7"/>
  <c r="AL16" i="7" s="1"/>
  <c r="X14" i="7"/>
  <c r="N52" i="4"/>
  <c r="G72" i="7"/>
  <c r="H72" i="7" s="1"/>
  <c r="F64" i="7"/>
  <c r="G78" i="7"/>
  <c r="H78" i="7" s="1"/>
  <c r="AK17" i="7" l="1"/>
  <c r="AL17" i="7" s="1"/>
  <c r="H64" i="7"/>
  <c r="P52" i="4" s="1"/>
  <c r="Y9" i="7"/>
  <c r="Y10" i="7"/>
  <c r="Y12" i="7"/>
  <c r="Y11" i="7"/>
  <c r="Y14" i="7"/>
  <c r="X15" i="7"/>
  <c r="Y13" i="7"/>
  <c r="F85" i="7"/>
  <c r="AK18" i="7" l="1"/>
  <c r="AL18" i="7" s="1"/>
  <c r="Y15" i="7"/>
  <c r="X16" i="7"/>
  <c r="H85" i="7"/>
  <c r="P87" i="4" s="1"/>
  <c r="G68" i="7"/>
  <c r="D60" i="7"/>
  <c r="AN8" i="7" s="1"/>
  <c r="G81" i="7"/>
  <c r="H81" i="7" s="1"/>
  <c r="G75" i="7"/>
  <c r="H75" i="7" s="1"/>
  <c r="H102" i="7" s="1"/>
  <c r="F103" i="7" s="1"/>
  <c r="O56" i="4"/>
  <c r="AN9" i="7" l="1"/>
  <c r="AN10" i="7" s="1"/>
  <c r="AN11" i="7" s="1"/>
  <c r="AN12" i="7" s="1"/>
  <c r="AN13" i="7" s="1"/>
  <c r="AN14" i="7" s="1"/>
  <c r="AN15" i="7" s="1"/>
  <c r="AN16" i="7" s="1"/>
  <c r="AN17" i="7" s="1"/>
  <c r="AN18" i="7" s="1"/>
  <c r="AN19" i="7" s="1"/>
  <c r="AN20" i="7" s="1"/>
  <c r="AN21" i="7" s="1"/>
  <c r="AN22" i="7" s="1"/>
  <c r="AN23" i="7" s="1"/>
  <c r="AN24" i="7" s="1"/>
  <c r="AN25" i="7" s="1"/>
  <c r="AN26" i="7" s="1"/>
  <c r="AN27" i="7" s="1"/>
  <c r="AN28" i="7" s="1"/>
  <c r="AN29" i="7" s="1"/>
  <c r="AN30" i="7" s="1"/>
  <c r="AN31" i="7" s="1"/>
  <c r="AN32" i="7" s="1"/>
  <c r="AN33" i="7" s="1"/>
  <c r="AN34" i="7" s="1"/>
  <c r="AN35" i="7" s="1"/>
  <c r="AN36" i="7" s="1"/>
  <c r="AN37" i="7" s="1"/>
  <c r="AN38" i="7" s="1"/>
  <c r="AN39" i="7" s="1"/>
  <c r="AN40" i="7" s="1"/>
  <c r="AN41" i="7" s="1"/>
  <c r="AN42" i="7" s="1"/>
  <c r="AN43" i="7" s="1"/>
  <c r="AN44" i="7" s="1"/>
  <c r="AN45" i="7" s="1"/>
  <c r="AN46" i="7" s="1"/>
  <c r="AN47" i="7" s="1"/>
  <c r="AN48" i="7" s="1"/>
  <c r="AN49" i="7" s="1"/>
  <c r="AN50" i="7" s="1"/>
  <c r="AN51" i="7" s="1"/>
  <c r="AN52" i="7" s="1"/>
  <c r="AN53" i="7" s="1"/>
  <c r="AN54" i="7" s="1"/>
  <c r="AN55" i="7" s="1"/>
  <c r="AN56" i="7" s="1"/>
  <c r="AN57" i="7" s="1"/>
  <c r="AN58" i="7" s="1"/>
  <c r="AN59" i="7" s="1"/>
  <c r="AN60" i="7" s="1"/>
  <c r="AN61" i="7" s="1"/>
  <c r="AN62" i="7" s="1"/>
  <c r="AN63" i="7" s="1"/>
  <c r="AN64" i="7" s="1"/>
  <c r="AN65" i="7" s="1"/>
  <c r="AN66" i="7" s="1"/>
  <c r="AN67" i="7" s="1"/>
  <c r="AN68" i="7" s="1"/>
  <c r="AN69" i="7" s="1"/>
  <c r="AN70" i="7" s="1"/>
  <c r="AN71" i="7" s="1"/>
  <c r="AN72" i="7" s="1"/>
  <c r="AN73" i="7" s="1"/>
  <c r="AN74" i="7" s="1"/>
  <c r="AN75" i="7" s="1"/>
  <c r="AN76" i="7" s="1"/>
  <c r="AN77" i="7" s="1"/>
  <c r="AN78" i="7" s="1"/>
  <c r="AN79" i="7" s="1"/>
  <c r="AN80" i="7" s="1"/>
  <c r="AN81" i="7" s="1"/>
  <c r="AN82" i="7" s="1"/>
  <c r="AN83" i="7" s="1"/>
  <c r="AN84" i="7" s="1"/>
  <c r="AN85" i="7" s="1"/>
  <c r="AN86" i="7" s="1"/>
  <c r="AN87" i="7" s="1"/>
  <c r="AN88" i="7" s="1"/>
  <c r="AN89" i="7" s="1"/>
  <c r="AN90" i="7" s="1"/>
  <c r="AN91" i="7" s="1"/>
  <c r="AN92" i="7" s="1"/>
  <c r="AN93" i="7" s="1"/>
  <c r="AN94" i="7" s="1"/>
  <c r="AN95" i="7" s="1"/>
  <c r="AN96" i="7" s="1"/>
  <c r="AN97" i="7" s="1"/>
  <c r="AN98" i="7" s="1"/>
  <c r="AN99" i="7" s="1"/>
  <c r="AN100" i="7" s="1"/>
  <c r="AN101" i="7" s="1"/>
  <c r="AN102" i="7" s="1"/>
  <c r="AN103" i="7" s="1"/>
  <c r="AN104" i="7" s="1"/>
  <c r="AN105" i="7" s="1"/>
  <c r="AN106" i="7" s="1"/>
  <c r="AN107" i="7" s="1"/>
  <c r="AN108" i="7" s="1"/>
  <c r="AN109" i="7" s="1"/>
  <c r="AN110" i="7" s="1"/>
  <c r="AN111" i="7" s="1"/>
  <c r="AN112" i="7" s="1"/>
  <c r="AN113" i="7" s="1"/>
  <c r="AN114" i="7" s="1"/>
  <c r="AN115" i="7" s="1"/>
  <c r="AN116" i="7" s="1"/>
  <c r="AN117" i="7" s="1"/>
  <c r="AN118" i="7" s="1"/>
  <c r="AN119" i="7" s="1"/>
  <c r="AN120" i="7" s="1"/>
  <c r="AN121" i="7" s="1"/>
  <c r="AN122" i="7" s="1"/>
  <c r="AN123" i="7" s="1"/>
  <c r="AN124" i="7" s="1"/>
  <c r="AN125" i="7" s="1"/>
  <c r="AN126" i="7" s="1"/>
  <c r="AN127" i="7" s="1"/>
  <c r="AN128" i="7" s="1"/>
  <c r="AN129" i="7" s="1"/>
  <c r="AN130" i="7" s="1"/>
  <c r="AN131" i="7" s="1"/>
  <c r="AN132" i="7" s="1"/>
  <c r="AN133" i="7" s="1"/>
  <c r="AN134" i="7" s="1"/>
  <c r="AN135" i="7" s="1"/>
  <c r="AN136" i="7" s="1"/>
  <c r="AN137" i="7" s="1"/>
  <c r="AN138" i="7" s="1"/>
  <c r="AN139" i="7" s="1"/>
  <c r="AN140" i="7" s="1"/>
  <c r="AN141" i="7" s="1"/>
  <c r="AN142" i="7" s="1"/>
  <c r="AN143" i="7" s="1"/>
  <c r="AN144" i="7" s="1"/>
  <c r="AN145" i="7" s="1"/>
  <c r="AN146" i="7" s="1"/>
  <c r="AN147" i="7" s="1"/>
  <c r="AN148" i="7" s="1"/>
  <c r="AN149" i="7" s="1"/>
  <c r="AN150" i="7" s="1"/>
  <c r="AN151" i="7" s="1"/>
  <c r="AN152" i="7" s="1"/>
  <c r="AN153" i="7" s="1"/>
  <c r="AN154" i="7" s="1"/>
  <c r="AN155" i="7" s="1"/>
  <c r="AN156" i="7" s="1"/>
  <c r="AN157" i="7" s="1"/>
  <c r="AN158" i="7" s="1"/>
  <c r="AN159" i="7" s="1"/>
  <c r="AN160" i="7" s="1"/>
  <c r="AN161" i="7" s="1"/>
  <c r="AN162" i="7" s="1"/>
  <c r="AN163" i="7" s="1"/>
  <c r="AN164" i="7" s="1"/>
  <c r="AN165" i="7" s="1"/>
  <c r="AN166" i="7" s="1"/>
  <c r="AN167" i="7" s="1"/>
  <c r="AN168" i="7" s="1"/>
  <c r="AN169" i="7" s="1"/>
  <c r="AN170" i="7" s="1"/>
  <c r="AN171" i="7" s="1"/>
  <c r="AN172" i="7" s="1"/>
  <c r="AN173" i="7" s="1"/>
  <c r="AN174" i="7" s="1"/>
  <c r="AN175" i="7" s="1"/>
  <c r="AN176" i="7" s="1"/>
  <c r="AN177" i="7" s="1"/>
  <c r="AN178" i="7" s="1"/>
  <c r="AN179" i="7" s="1"/>
  <c r="AN180" i="7" s="1"/>
  <c r="AN181" i="7" s="1"/>
  <c r="AN182" i="7" s="1"/>
  <c r="AN183" i="7" s="1"/>
  <c r="AN184" i="7" s="1"/>
  <c r="AN185" i="7" s="1"/>
  <c r="AN186" i="7" s="1"/>
  <c r="AN187" i="7" s="1"/>
  <c r="AN188" i="7" s="1"/>
  <c r="AK19" i="7"/>
  <c r="AL19" i="7" s="1"/>
  <c r="H68" i="7"/>
  <c r="Q52" i="4" s="1"/>
  <c r="AA8" i="7"/>
  <c r="Y16" i="7"/>
  <c r="X17" i="7"/>
  <c r="C22" i="10"/>
  <c r="H60" i="7"/>
  <c r="J60" i="7"/>
  <c r="A4" i="7"/>
  <c r="F86" i="7"/>
  <c r="O61" i="4"/>
  <c r="L60" i="7"/>
  <c r="G4" i="11" l="1"/>
  <c r="O62" i="4"/>
  <c r="C5" i="15"/>
  <c r="X5" i="15" s="1"/>
  <c r="AQ32" i="7"/>
  <c r="AA9" i="7"/>
  <c r="AA10" i="7" s="1"/>
  <c r="AA11" i="7" s="1"/>
  <c r="AA12" i="7" s="1"/>
  <c r="AA13" i="7" s="1"/>
  <c r="AA14" i="7" s="1"/>
  <c r="AA15" i="7" s="1"/>
  <c r="AA16" i="7" s="1"/>
  <c r="AA17" i="7" s="1"/>
  <c r="AA18" i="7" s="1"/>
  <c r="AA19" i="7" s="1"/>
  <c r="AA20" i="7" s="1"/>
  <c r="AA21" i="7" s="1"/>
  <c r="AA22" i="7" s="1"/>
  <c r="AA23" i="7" s="1"/>
  <c r="AA24" i="7" s="1"/>
  <c r="AA25" i="7" s="1"/>
  <c r="AA26" i="7" s="1"/>
  <c r="AA27" i="7" s="1"/>
  <c r="AA28" i="7" s="1"/>
  <c r="AA29" i="7" s="1"/>
  <c r="AA30" i="7" s="1"/>
  <c r="AA31" i="7" s="1"/>
  <c r="AA32" i="7" s="1"/>
  <c r="AA33" i="7" s="1"/>
  <c r="AA34" i="7" s="1"/>
  <c r="AA35" i="7" s="1"/>
  <c r="AA36" i="7" s="1"/>
  <c r="AA37" i="7" s="1"/>
  <c r="AA38" i="7" s="1"/>
  <c r="AA39" i="7" s="1"/>
  <c r="AA40" i="7" s="1"/>
  <c r="AA41" i="7" s="1"/>
  <c r="AA42" i="7" s="1"/>
  <c r="AA43" i="7" s="1"/>
  <c r="AA44" i="7" s="1"/>
  <c r="AA45" i="7" s="1"/>
  <c r="AA46" i="7" s="1"/>
  <c r="AA47" i="7" s="1"/>
  <c r="AA48" i="7" s="1"/>
  <c r="AA49" i="7" s="1"/>
  <c r="AA50" i="7" s="1"/>
  <c r="AA51" i="7" s="1"/>
  <c r="AA52" i="7" s="1"/>
  <c r="AA53" i="7" s="1"/>
  <c r="AA54" i="7" s="1"/>
  <c r="AA55" i="7" s="1"/>
  <c r="AA56" i="7" s="1"/>
  <c r="AA57" i="7" s="1"/>
  <c r="AA58" i="7" s="1"/>
  <c r="AA59" i="7" s="1"/>
  <c r="AA60" i="7" s="1"/>
  <c r="AA61" i="7" s="1"/>
  <c r="AA62" i="7" s="1"/>
  <c r="AA63" i="7" s="1"/>
  <c r="AA64" i="7" s="1"/>
  <c r="AA65" i="7" s="1"/>
  <c r="AA66" i="7" s="1"/>
  <c r="AA67" i="7" s="1"/>
  <c r="AA68" i="7" s="1"/>
  <c r="AA69" i="7" s="1"/>
  <c r="AA70" i="7" s="1"/>
  <c r="AA71" i="7" s="1"/>
  <c r="AA72" i="7" s="1"/>
  <c r="AA73" i="7" s="1"/>
  <c r="AA74" i="7" s="1"/>
  <c r="AA75" i="7" s="1"/>
  <c r="AA76" i="7" s="1"/>
  <c r="AA77" i="7" s="1"/>
  <c r="AA78" i="7" s="1"/>
  <c r="AA79" i="7" s="1"/>
  <c r="AA80" i="7" s="1"/>
  <c r="AA81" i="7" s="1"/>
  <c r="AA82" i="7" s="1"/>
  <c r="AA83" i="7" s="1"/>
  <c r="AA84" i="7" s="1"/>
  <c r="AA85" i="7" s="1"/>
  <c r="AA86" i="7" s="1"/>
  <c r="AA87" i="7" s="1"/>
  <c r="AA88" i="7" s="1"/>
  <c r="AA89" i="7" s="1"/>
  <c r="AA90" i="7" s="1"/>
  <c r="AA91" i="7" s="1"/>
  <c r="AA92" i="7" s="1"/>
  <c r="AA93" i="7" s="1"/>
  <c r="AA94" i="7" s="1"/>
  <c r="AA95" i="7" s="1"/>
  <c r="AA96" i="7" s="1"/>
  <c r="AA97" i="7" s="1"/>
  <c r="AA98" i="7" s="1"/>
  <c r="AA99" i="7" s="1"/>
  <c r="AA100" i="7" s="1"/>
  <c r="AA101" i="7" s="1"/>
  <c r="AA102" i="7" s="1"/>
  <c r="AA103" i="7" s="1"/>
  <c r="AA104" i="7" s="1"/>
  <c r="AA105" i="7" s="1"/>
  <c r="AA106" i="7" s="1"/>
  <c r="AA107" i="7" s="1"/>
  <c r="AA108" i="7" s="1"/>
  <c r="AA109" i="7" s="1"/>
  <c r="AA110" i="7" s="1"/>
  <c r="AA111" i="7" s="1"/>
  <c r="AA112" i="7" s="1"/>
  <c r="AA113" i="7" s="1"/>
  <c r="AA114" i="7" s="1"/>
  <c r="AA115" i="7" s="1"/>
  <c r="AA116" i="7" s="1"/>
  <c r="AA117" i="7" s="1"/>
  <c r="AA118" i="7" s="1"/>
  <c r="AA119" i="7" s="1"/>
  <c r="AA120" i="7" s="1"/>
  <c r="AA121" i="7" s="1"/>
  <c r="AA122" i="7" s="1"/>
  <c r="AA123" i="7" s="1"/>
  <c r="AA124" i="7" s="1"/>
  <c r="AA125" i="7" s="1"/>
  <c r="AA126" i="7" s="1"/>
  <c r="AA127" i="7" s="1"/>
  <c r="AA128" i="7" s="1"/>
  <c r="AA129" i="7" s="1"/>
  <c r="AA130" i="7" s="1"/>
  <c r="AA131" i="7" s="1"/>
  <c r="AA132" i="7" s="1"/>
  <c r="AA133" i="7" s="1"/>
  <c r="AA134" i="7" s="1"/>
  <c r="AA135" i="7" s="1"/>
  <c r="AA136" i="7" s="1"/>
  <c r="AA137" i="7" s="1"/>
  <c r="AA138" i="7" s="1"/>
  <c r="AA139" i="7" s="1"/>
  <c r="AA140" i="7" s="1"/>
  <c r="AA141" i="7" s="1"/>
  <c r="AA142" i="7" s="1"/>
  <c r="AA143" i="7" s="1"/>
  <c r="AA144" i="7" s="1"/>
  <c r="AA145" i="7" s="1"/>
  <c r="AA146" i="7" s="1"/>
  <c r="AA147" i="7" s="1"/>
  <c r="AA148" i="7" s="1"/>
  <c r="AA149" i="7" s="1"/>
  <c r="AA150" i="7" s="1"/>
  <c r="AA151" i="7" s="1"/>
  <c r="AA152" i="7" s="1"/>
  <c r="AA153" i="7" s="1"/>
  <c r="AA154" i="7" s="1"/>
  <c r="AA155" i="7" s="1"/>
  <c r="AA156" i="7" s="1"/>
  <c r="AA157" i="7" s="1"/>
  <c r="AA158" i="7" s="1"/>
  <c r="AA159" i="7" s="1"/>
  <c r="AA160" i="7" s="1"/>
  <c r="AA161" i="7" s="1"/>
  <c r="AA162" i="7" s="1"/>
  <c r="AA163" i="7" s="1"/>
  <c r="AA164" i="7" s="1"/>
  <c r="AA165" i="7" s="1"/>
  <c r="AA166" i="7" s="1"/>
  <c r="AA167" i="7" s="1"/>
  <c r="AA168" i="7" s="1"/>
  <c r="AA169" i="7" s="1"/>
  <c r="AA170" i="7" s="1"/>
  <c r="AA171" i="7" s="1"/>
  <c r="AA172" i="7" s="1"/>
  <c r="AA173" i="7" s="1"/>
  <c r="AA174" i="7" s="1"/>
  <c r="AA175" i="7" s="1"/>
  <c r="AA176" i="7" s="1"/>
  <c r="AA177" i="7" s="1"/>
  <c r="AA178" i="7" s="1"/>
  <c r="AA179" i="7" s="1"/>
  <c r="AA180" i="7" s="1"/>
  <c r="AA181" i="7" s="1"/>
  <c r="AA182" i="7" s="1"/>
  <c r="AA183" i="7" s="1"/>
  <c r="AA184" i="7" s="1"/>
  <c r="AA185" i="7" s="1"/>
  <c r="AA186" i="7" s="1"/>
  <c r="AA187" i="7" s="1"/>
  <c r="AA188" i="7" s="1"/>
  <c r="AK20" i="7"/>
  <c r="AL20" i="7" s="1"/>
  <c r="Y17" i="7"/>
  <c r="X18" i="7"/>
  <c r="H86" i="7"/>
  <c r="AH26" i="15" l="1"/>
  <c r="Z20" i="15"/>
  <c r="AH20" i="15" s="1"/>
  <c r="AH39" i="15"/>
  <c r="AM39" i="15" s="1"/>
  <c r="AN39" i="15" s="1"/>
  <c r="AQ33" i="7"/>
  <c r="P61" i="4" s="1"/>
  <c r="N61" i="4"/>
  <c r="AD33" i="7"/>
  <c r="AD34" i="7" s="1"/>
  <c r="AK21" i="7"/>
  <c r="AL21" i="7" s="1"/>
  <c r="Y18" i="7"/>
  <c r="X19" i="7"/>
  <c r="P88" i="4"/>
  <c r="E125" i="7"/>
  <c r="H125" i="7" s="1"/>
  <c r="N78" i="4" s="1"/>
  <c r="F18" i="10" s="1"/>
  <c r="AL26" i="15" l="1"/>
  <c r="AM26" i="15" s="1"/>
  <c r="AI26" i="15"/>
  <c r="C18" i="10"/>
  <c r="C7" i="15"/>
  <c r="AA20" i="15"/>
  <c r="AD20" i="15"/>
  <c r="AE20" i="15" s="1"/>
  <c r="AK22" i="7"/>
  <c r="AL22" i="7" s="1"/>
  <c r="X20" i="7"/>
  <c r="Y19" i="7"/>
  <c r="D20" i="15" l="1"/>
  <c r="F20" i="15" s="1"/>
  <c r="H20" i="15" s="1"/>
  <c r="Y5" i="15"/>
  <c r="W5" i="15"/>
  <c r="Z24" i="15" s="1"/>
  <c r="AA24" i="15" s="1"/>
  <c r="AD24" i="15" s="1"/>
  <c r="AE24" i="15" s="1"/>
  <c r="AL20" i="15"/>
  <c r="AM20" i="15" s="1"/>
  <c r="AI20" i="15"/>
  <c r="G18" i="10"/>
  <c r="O78" i="4" s="1"/>
  <c r="E132" i="10" s="1"/>
  <c r="F40" i="10"/>
  <c r="AK23" i="7"/>
  <c r="AL23" i="7" s="1"/>
  <c r="E36" i="10"/>
  <c r="F36" i="10" s="1"/>
  <c r="H36" i="10" s="1"/>
  <c r="X21" i="7"/>
  <c r="Y20" i="7"/>
  <c r="B4" i="11" l="1"/>
  <c r="AK24" i="7"/>
  <c r="AL24" i="7" s="1"/>
  <c r="Y21" i="7"/>
  <c r="X22" i="7"/>
  <c r="I36" i="10"/>
  <c r="C70" i="4"/>
  <c r="H50" i="10"/>
  <c r="AK25" i="7" l="1"/>
  <c r="AL25" i="7" s="1"/>
  <c r="Y22" i="7"/>
  <c r="X23" i="7"/>
  <c r="D70" i="4"/>
  <c r="I50" i="10"/>
  <c r="H70" i="4"/>
  <c r="H54" i="10"/>
  <c r="F90" i="10" s="1"/>
  <c r="G90" i="10" s="1"/>
  <c r="AK26" i="7" l="1"/>
  <c r="AL26" i="7" s="1"/>
  <c r="Y23" i="7"/>
  <c r="X24" i="7"/>
  <c r="C88" i="4"/>
  <c r="C40" i="10"/>
  <c r="G40" i="10" s="1" a="1"/>
  <c r="G40" i="10" s="1"/>
  <c r="I54" i="10"/>
  <c r="J74" i="4" s="1"/>
  <c r="I74" i="4"/>
  <c r="J50" i="10"/>
  <c r="J70" i="4" s="1"/>
  <c r="I70" i="4"/>
  <c r="O93" i="4" l="1"/>
  <c r="H40" i="10"/>
  <c r="AK27" i="7"/>
  <c r="AL27" i="7" s="1"/>
  <c r="X25" i="7"/>
  <c r="Y24" i="7"/>
  <c r="E58" i="10"/>
  <c r="F58" i="10" s="1"/>
  <c r="E44" i="10" l="1"/>
  <c r="F44" i="10" s="1"/>
  <c r="I40" i="10"/>
  <c r="E66" i="4" s="1"/>
  <c r="AK28" i="7"/>
  <c r="AL28" i="7" s="1"/>
  <c r="Y25" i="7"/>
  <c r="X26" i="7"/>
  <c r="F86" i="10"/>
  <c r="C74" i="4"/>
  <c r="O94" i="4"/>
  <c r="D74" i="4"/>
  <c r="E74" i="4" l="1"/>
  <c r="F71" i="10"/>
  <c r="G71" i="10" s="1"/>
  <c r="AK29" i="7"/>
  <c r="AL29" i="7" s="1"/>
  <c r="Y26" i="7"/>
  <c r="X27" i="7"/>
  <c r="G86" i="10"/>
  <c r="O99" i="4" s="1"/>
  <c r="F75" i="10"/>
  <c r="G75" i="10" s="1"/>
  <c r="I79" i="4" s="1"/>
  <c r="H79" i="4"/>
  <c r="P93" i="4" l="1"/>
  <c r="C79" i="4"/>
  <c r="AK30" i="7"/>
  <c r="AL30" i="7" s="1"/>
  <c r="Y27" i="7"/>
  <c r="X28" i="7"/>
  <c r="D79" i="4"/>
  <c r="AK31" i="7" l="1"/>
  <c r="AL31" i="7" s="1"/>
  <c r="Y28" i="7"/>
  <c r="X29" i="7"/>
  <c r="AK32" i="7" l="1"/>
  <c r="AL32" i="7" s="1"/>
  <c r="Y29" i="7"/>
  <c r="X30" i="7"/>
  <c r="AK33" i="7" l="1"/>
  <c r="AL33" i="7" s="1"/>
  <c r="Y30" i="7"/>
  <c r="X31" i="7"/>
  <c r="AK34" i="7" l="1"/>
  <c r="AL34" i="7" s="1"/>
  <c r="Y31" i="7"/>
  <c r="X32" i="7"/>
  <c r="AK35" i="7" l="1"/>
  <c r="AL35" i="7" s="1"/>
  <c r="Y32" i="7"/>
  <c r="X33" i="7"/>
  <c r="AK36" i="7" l="1"/>
  <c r="AL36" i="7" s="1"/>
  <c r="Y33" i="7"/>
  <c r="X34" i="7"/>
  <c r="AK37" i="7" l="1"/>
  <c r="AL37" i="7" s="1"/>
  <c r="Y34" i="7"/>
  <c r="X35" i="7"/>
  <c r="AK38" i="7" l="1"/>
  <c r="AL38" i="7" s="1"/>
  <c r="X36" i="7"/>
  <c r="Y35" i="7"/>
  <c r="AK39" i="7" l="1"/>
  <c r="AL39" i="7" s="1"/>
  <c r="Y36" i="7"/>
  <c r="X37" i="7"/>
  <c r="AK40" i="7" l="1"/>
  <c r="AL40" i="7" s="1"/>
  <c r="Y37" i="7"/>
  <c r="X38" i="7"/>
  <c r="AK41" i="7" l="1"/>
  <c r="AL41" i="7" s="1"/>
  <c r="Y38" i="7"/>
  <c r="X39" i="7"/>
  <c r="AK42" i="7" l="1"/>
  <c r="AL42" i="7" s="1"/>
  <c r="Y39" i="7"/>
  <c r="X40" i="7"/>
  <c r="AK43" i="7" l="1"/>
  <c r="AL43" i="7" s="1"/>
  <c r="X41" i="7"/>
  <c r="Y40" i="7"/>
  <c r="AK44" i="7" l="1"/>
  <c r="AL44" i="7" s="1"/>
  <c r="Y41" i="7"/>
  <c r="X42" i="7"/>
  <c r="AK45" i="7" l="1"/>
  <c r="AL45" i="7" s="1"/>
  <c r="Y42" i="7"/>
  <c r="X43" i="7"/>
  <c r="AK46" i="7" l="1"/>
  <c r="AL46" i="7" s="1"/>
  <c r="Y43" i="7"/>
  <c r="X44" i="7"/>
  <c r="AK47" i="7" l="1"/>
  <c r="AL47" i="7" s="1"/>
  <c r="Y44" i="7"/>
  <c r="X45" i="7"/>
  <c r="AK48" i="7" l="1"/>
  <c r="AL48" i="7" s="1"/>
  <c r="Y45" i="7"/>
  <c r="X46" i="7"/>
  <c r="AK49" i="7" l="1"/>
  <c r="AL49" i="7" s="1"/>
  <c r="Y46" i="7"/>
  <c r="X47" i="7"/>
  <c r="AK50" i="7" l="1"/>
  <c r="AL50" i="7" s="1"/>
  <c r="Y47" i="7"/>
  <c r="X48" i="7"/>
  <c r="AK51" i="7" l="1"/>
  <c r="AL51" i="7" s="1"/>
  <c r="Y48" i="7"/>
  <c r="X49" i="7"/>
  <c r="AK52" i="7" l="1"/>
  <c r="AL52" i="7" s="1"/>
  <c r="Y49" i="7"/>
  <c r="X50" i="7"/>
  <c r="AK53" i="7" l="1"/>
  <c r="AL53" i="7" s="1"/>
  <c r="Y50" i="7"/>
  <c r="X51" i="7"/>
  <c r="AK54" i="7" l="1"/>
  <c r="AL54" i="7" s="1"/>
  <c r="X52" i="7"/>
  <c r="Y51" i="7"/>
  <c r="AK55" i="7" l="1"/>
  <c r="AL55" i="7" s="1"/>
  <c r="Y52" i="7"/>
  <c r="X53" i="7"/>
  <c r="AK56" i="7" l="1"/>
  <c r="AL56" i="7" s="1"/>
  <c r="Y53" i="7"/>
  <c r="X54" i="7"/>
  <c r="AK57" i="7" l="1"/>
  <c r="AL57" i="7" s="1"/>
  <c r="Y54" i="7"/>
  <c r="X55" i="7"/>
  <c r="AK58" i="7" l="1"/>
  <c r="AL58" i="7" s="1"/>
  <c r="Y55" i="7"/>
  <c r="X56" i="7"/>
  <c r="AK59" i="7" l="1"/>
  <c r="AL59" i="7" s="1"/>
  <c r="X57" i="7"/>
  <c r="Y56" i="7"/>
  <c r="AK60" i="7" l="1"/>
  <c r="AL60" i="7" s="1"/>
  <c r="Y57" i="7"/>
  <c r="X58" i="7"/>
  <c r="AK61" i="7" l="1"/>
  <c r="AL61" i="7" s="1"/>
  <c r="Y58" i="7"/>
  <c r="X59" i="7"/>
  <c r="AK62" i="7" l="1"/>
  <c r="AL62" i="7" s="1"/>
  <c r="Y59" i="7"/>
  <c r="X60" i="7"/>
  <c r="AK63" i="7" l="1"/>
  <c r="AL63" i="7" s="1"/>
  <c r="X61" i="7"/>
  <c r="Y60" i="7"/>
  <c r="AK64" i="7" l="1"/>
  <c r="AL64" i="7" s="1"/>
  <c r="Y61" i="7"/>
  <c r="X62" i="7"/>
  <c r="AK65" i="7" l="1"/>
  <c r="AL65" i="7" s="1"/>
  <c r="Y62" i="7"/>
  <c r="X63" i="7"/>
  <c r="AK66" i="7" l="1"/>
  <c r="AL66" i="7" s="1"/>
  <c r="Y63" i="7"/>
  <c r="X64" i="7"/>
  <c r="AK67" i="7" l="1"/>
  <c r="AL67" i="7" s="1"/>
  <c r="Y64" i="7"/>
  <c r="X65" i="7"/>
  <c r="AK68" i="7" l="1"/>
  <c r="AL68" i="7" s="1"/>
  <c r="Y65" i="7"/>
  <c r="X66" i="7"/>
  <c r="AK69" i="7" l="1"/>
  <c r="AL69" i="7" s="1"/>
  <c r="Y66" i="7"/>
  <c r="X67" i="7"/>
  <c r="AK70" i="7" l="1"/>
  <c r="AL70" i="7" s="1"/>
  <c r="X68" i="7"/>
  <c r="Y67" i="7"/>
  <c r="AK71" i="7" l="1"/>
  <c r="AL71" i="7" s="1"/>
  <c r="Y68" i="7"/>
  <c r="X69" i="7"/>
  <c r="AK72" i="7" l="1"/>
  <c r="AL72" i="7" s="1"/>
  <c r="Y69" i="7"/>
  <c r="X70" i="7"/>
  <c r="AK73" i="7" l="1"/>
  <c r="AL73" i="7" s="1"/>
  <c r="Y70" i="7"/>
  <c r="X71" i="7"/>
  <c r="AK74" i="7" l="1"/>
  <c r="AL74" i="7" s="1"/>
  <c r="Y71" i="7"/>
  <c r="X72" i="7"/>
  <c r="AK75" i="7" l="1"/>
  <c r="AL75" i="7" s="1"/>
  <c r="X73" i="7"/>
  <c r="Y72" i="7"/>
  <c r="AK76" i="7" l="1"/>
  <c r="AL76" i="7" s="1"/>
  <c r="Y73" i="7"/>
  <c r="X74" i="7"/>
  <c r="AK77" i="7" l="1"/>
  <c r="AL77" i="7" s="1"/>
  <c r="Y74" i="7"/>
  <c r="X75" i="7"/>
  <c r="AK78" i="7" l="1"/>
  <c r="AL78" i="7" s="1"/>
  <c r="Y75" i="7"/>
  <c r="X76" i="7"/>
  <c r="AK79" i="7" l="1"/>
  <c r="AL79" i="7" s="1"/>
  <c r="X77" i="7"/>
  <c r="Y76" i="7"/>
  <c r="AK80" i="7" l="1"/>
  <c r="AL80" i="7" s="1"/>
  <c r="Y77" i="7"/>
  <c r="X78" i="7"/>
  <c r="AK81" i="7" l="1"/>
  <c r="AL81" i="7" s="1"/>
  <c r="Y78" i="7"/>
  <c r="X79" i="7"/>
  <c r="AK82" i="7" l="1"/>
  <c r="AL82" i="7" s="1"/>
  <c r="Y79" i="7"/>
  <c r="X80" i="7"/>
  <c r="AK83" i="7" l="1"/>
  <c r="AL83" i="7" s="1"/>
  <c r="Y80" i="7"/>
  <c r="X81" i="7"/>
  <c r="AK84" i="7" l="1"/>
  <c r="AL84" i="7" s="1"/>
  <c r="Y81" i="7"/>
  <c r="X82" i="7"/>
  <c r="AK85" i="7" l="1"/>
  <c r="AL85" i="7" s="1"/>
  <c r="Y82" i="7"/>
  <c r="X83" i="7"/>
  <c r="AK86" i="7" l="1"/>
  <c r="AL86" i="7" s="1"/>
  <c r="X84" i="7"/>
  <c r="Y83" i="7"/>
  <c r="AK87" i="7" l="1"/>
  <c r="AL87" i="7" s="1"/>
  <c r="Y84" i="7"/>
  <c r="X85" i="7"/>
  <c r="AK88" i="7" l="1"/>
  <c r="AL88" i="7" s="1"/>
  <c r="Y85" i="7"/>
  <c r="X86" i="7"/>
  <c r="AK89" i="7" l="1"/>
  <c r="AL89" i="7" s="1"/>
  <c r="Y86" i="7"/>
  <c r="X87" i="7"/>
  <c r="AK90" i="7" l="1"/>
  <c r="AL90" i="7" s="1"/>
  <c r="Y87" i="7"/>
  <c r="X88" i="7"/>
  <c r="AK91" i="7" l="1"/>
  <c r="AL91" i="7" s="1"/>
  <c r="X89" i="7"/>
  <c r="Y88" i="7"/>
  <c r="AK92" i="7" l="1"/>
  <c r="AL92" i="7" s="1"/>
  <c r="Y89" i="7"/>
  <c r="X90" i="7"/>
  <c r="AK93" i="7" l="1"/>
  <c r="AL93" i="7" s="1"/>
  <c r="Y90" i="7"/>
  <c r="X91" i="7"/>
  <c r="AK94" i="7" l="1"/>
  <c r="AL94" i="7" s="1"/>
  <c r="Y91" i="7"/>
  <c r="X92" i="7"/>
  <c r="AK95" i="7" l="1"/>
  <c r="AL95" i="7" s="1"/>
  <c r="Y92" i="7"/>
  <c r="X93" i="7"/>
  <c r="AK96" i="7" l="1"/>
  <c r="AL96" i="7" s="1"/>
  <c r="Y93" i="7"/>
  <c r="X94" i="7"/>
  <c r="AK97" i="7" l="1"/>
  <c r="AL97" i="7" s="1"/>
  <c r="Y94" i="7"/>
  <c r="X95" i="7"/>
  <c r="AK98" i="7" l="1"/>
  <c r="AL98" i="7" s="1"/>
  <c r="Y95" i="7"/>
  <c r="X96" i="7"/>
  <c r="AK99" i="7" l="1"/>
  <c r="AL99" i="7" s="1"/>
  <c r="Y96" i="7"/>
  <c r="X97" i="7"/>
  <c r="V95" i="7"/>
  <c r="AK100" i="7" l="1"/>
  <c r="AL100" i="7" s="1"/>
  <c r="Y97" i="7"/>
  <c r="X98" i="7"/>
  <c r="AK101" i="7" l="1"/>
  <c r="AL101" i="7" s="1"/>
  <c r="Y98" i="7"/>
  <c r="X99" i="7"/>
  <c r="AK102" i="7" l="1"/>
  <c r="AL102" i="7" s="1"/>
  <c r="Y99" i="7"/>
  <c r="X100" i="7"/>
  <c r="AK103" i="7" l="1"/>
  <c r="AL103" i="7" s="1"/>
  <c r="X101" i="7"/>
  <c r="Y100" i="7"/>
  <c r="AK104" i="7" l="1"/>
  <c r="AL104" i="7" s="1"/>
  <c r="Y101" i="7"/>
  <c r="X102" i="7"/>
  <c r="AK105" i="7" l="1"/>
  <c r="AL105" i="7" s="1"/>
  <c r="Y102" i="7"/>
  <c r="X103" i="7"/>
  <c r="AK106" i="7" l="1"/>
  <c r="AL106" i="7" s="1"/>
  <c r="Y103" i="7"/>
  <c r="X104" i="7"/>
  <c r="AK107" i="7" l="1"/>
  <c r="AL107" i="7" s="1"/>
  <c r="X105" i="7"/>
  <c r="Y104" i="7"/>
  <c r="AK108" i="7" l="1"/>
  <c r="AL108" i="7" s="1"/>
  <c r="Y105" i="7"/>
  <c r="X106" i="7"/>
  <c r="AK109" i="7" l="1"/>
  <c r="AL109" i="7" s="1"/>
  <c r="X107" i="7"/>
  <c r="Y106" i="7"/>
  <c r="AK110" i="7" l="1"/>
  <c r="AL110" i="7" s="1"/>
  <c r="Y107" i="7"/>
  <c r="X108" i="7"/>
  <c r="AK111" i="7" l="1"/>
  <c r="AL111" i="7" s="1"/>
  <c r="Y108" i="7"/>
  <c r="X109" i="7"/>
  <c r="AK112" i="7" l="1"/>
  <c r="AL112" i="7" s="1"/>
  <c r="Y109" i="7"/>
  <c r="X110" i="7"/>
  <c r="AK113" i="7" l="1"/>
  <c r="AL113" i="7" s="1"/>
  <c r="Y110" i="7"/>
  <c r="X111" i="7"/>
  <c r="AK114" i="7" l="1"/>
  <c r="AL114" i="7" s="1"/>
  <c r="Y111" i="7"/>
  <c r="X112" i="7"/>
  <c r="AK115" i="7" l="1"/>
  <c r="AL115" i="7" s="1"/>
  <c r="Y112" i="7"/>
  <c r="X113" i="7"/>
  <c r="AK116" i="7" l="1"/>
  <c r="AL116" i="7" s="1"/>
  <c r="Y113" i="7"/>
  <c r="X114" i="7"/>
  <c r="AK117" i="7" l="1"/>
  <c r="AL117" i="7" s="1"/>
  <c r="Y114" i="7"/>
  <c r="X115" i="7"/>
  <c r="AK118" i="7" l="1"/>
  <c r="AL118" i="7" s="1"/>
  <c r="X116" i="7"/>
  <c r="Y115" i="7"/>
  <c r="AK119" i="7" l="1"/>
  <c r="AL119" i="7" s="1"/>
  <c r="Y116" i="7"/>
  <c r="X117" i="7"/>
  <c r="AK120" i="7" l="1"/>
  <c r="AL120" i="7" s="1"/>
  <c r="X118" i="7"/>
  <c r="Y117" i="7"/>
  <c r="AK121" i="7" l="1"/>
  <c r="AL121" i="7" s="1"/>
  <c r="Y118" i="7"/>
  <c r="X119" i="7"/>
  <c r="AK122" i="7" l="1"/>
  <c r="AL122" i="7" s="1"/>
  <c r="Y119" i="7"/>
  <c r="X120" i="7"/>
  <c r="AK123" i="7" l="1"/>
  <c r="AL123" i="7" s="1"/>
  <c r="Y120" i="7"/>
  <c r="X121" i="7"/>
  <c r="AK124" i="7" l="1"/>
  <c r="AL124" i="7" s="1"/>
  <c r="Y121" i="7"/>
  <c r="X122" i="7"/>
  <c r="AK125" i="7" l="1"/>
  <c r="AL125" i="7" s="1"/>
  <c r="Y122" i="7"/>
  <c r="X123" i="7"/>
  <c r="AK126" i="7" l="1"/>
  <c r="AL126" i="7" s="1"/>
  <c r="X124" i="7"/>
  <c r="Y123" i="7"/>
  <c r="AK127" i="7" l="1"/>
  <c r="AL127" i="7" s="1"/>
  <c r="Y124" i="7"/>
  <c r="X125" i="7"/>
  <c r="AK128" i="7" l="1"/>
  <c r="AL128" i="7" s="1"/>
  <c r="X126" i="7"/>
  <c r="Y125" i="7"/>
  <c r="AK129" i="7" l="1"/>
  <c r="AL129" i="7" s="1"/>
  <c r="Y126" i="7"/>
  <c r="X127" i="7"/>
  <c r="AK130" i="7" l="1"/>
  <c r="AL130" i="7" s="1"/>
  <c r="Y127" i="7"/>
  <c r="X128" i="7"/>
  <c r="AK131" i="7" l="1"/>
  <c r="AL131" i="7" s="1"/>
  <c r="Y128" i="7"/>
  <c r="X129" i="7"/>
  <c r="AK132" i="7" l="1"/>
  <c r="AL132" i="7" s="1"/>
  <c r="Y129" i="7"/>
  <c r="X130" i="7"/>
  <c r="AK133" i="7" l="1"/>
  <c r="AL133" i="7" s="1"/>
  <c r="Y130" i="7"/>
  <c r="X131" i="7"/>
  <c r="AK134" i="7" l="1"/>
  <c r="AL134" i="7" s="1"/>
  <c r="Y131" i="7"/>
  <c r="X132" i="7"/>
  <c r="AK135" i="7" l="1"/>
  <c r="AL135" i="7" s="1"/>
  <c r="X133" i="7"/>
  <c r="Y132" i="7"/>
  <c r="AK136" i="7" l="1"/>
  <c r="AL136" i="7" s="1"/>
  <c r="X134" i="7"/>
  <c r="Y133" i="7"/>
  <c r="AK137" i="7" l="1"/>
  <c r="AL137" i="7" s="1"/>
  <c r="Y134" i="7"/>
  <c r="X135" i="7"/>
  <c r="AK138" i="7" l="1"/>
  <c r="AL138" i="7" s="1"/>
  <c r="Y135" i="7"/>
  <c r="X136" i="7"/>
  <c r="AK139" i="7" l="1"/>
  <c r="AL139" i="7" s="1"/>
  <c r="Y136" i="7"/>
  <c r="X137" i="7"/>
  <c r="AK140" i="7" l="1"/>
  <c r="AL140" i="7" s="1"/>
  <c r="Y137" i="7"/>
  <c r="X138" i="7"/>
  <c r="AK141" i="7" l="1"/>
  <c r="AL141" i="7" s="1"/>
  <c r="Y138" i="7"/>
  <c r="X139" i="7"/>
  <c r="AK142" i="7" l="1"/>
  <c r="AL142" i="7" s="1"/>
  <c r="Y139" i="7"/>
  <c r="X140" i="7"/>
  <c r="AK143" i="7" l="1"/>
  <c r="AL143" i="7" s="1"/>
  <c r="Y140" i="7"/>
  <c r="X141" i="7"/>
  <c r="AK144" i="7" l="1"/>
  <c r="AL144" i="7" s="1"/>
  <c r="Y141" i="7"/>
  <c r="X142" i="7"/>
  <c r="AK145" i="7" l="1"/>
  <c r="AL145" i="7" s="1"/>
  <c r="Y142" i="7"/>
  <c r="X143" i="7"/>
  <c r="AK146" i="7" l="1"/>
  <c r="AL146" i="7" s="1"/>
  <c r="Y143" i="7"/>
  <c r="X144" i="7"/>
  <c r="AK147" i="7" l="1"/>
  <c r="AL147" i="7" s="1"/>
  <c r="Y144" i="7"/>
  <c r="X145" i="7"/>
  <c r="AK148" i="7" l="1"/>
  <c r="AL148" i="7" s="1"/>
  <c r="Y145" i="7"/>
  <c r="X146" i="7"/>
  <c r="AK149" i="7" l="1"/>
  <c r="AL149" i="7" s="1"/>
  <c r="Y146" i="7"/>
  <c r="X147" i="7"/>
  <c r="AK150" i="7" l="1"/>
  <c r="AL150" i="7" s="1"/>
  <c r="Y147" i="7"/>
  <c r="X148" i="7"/>
  <c r="AK151" i="7" l="1"/>
  <c r="AL151" i="7" s="1"/>
  <c r="X149" i="7"/>
  <c r="Y148" i="7"/>
  <c r="AK152" i="7" l="1"/>
  <c r="AL152" i="7" s="1"/>
  <c r="Y149" i="7"/>
  <c r="X150" i="7"/>
  <c r="AK153" i="7" l="1"/>
  <c r="AL153" i="7" s="1"/>
  <c r="Y150" i="7"/>
  <c r="X151" i="7"/>
  <c r="AK154" i="7" l="1"/>
  <c r="AL154" i="7" s="1"/>
  <c r="Y151" i="7"/>
  <c r="X152" i="7"/>
  <c r="AK155" i="7" l="1"/>
  <c r="AL155" i="7" s="1"/>
  <c r="Y152" i="7"/>
  <c r="X153" i="7"/>
  <c r="AK156" i="7" l="1"/>
  <c r="AL156" i="7" s="1"/>
  <c r="Y153" i="7"/>
  <c r="X154" i="7"/>
  <c r="AK157" i="7" l="1"/>
  <c r="AL157" i="7" s="1"/>
  <c r="Y154" i="7"/>
  <c r="X155" i="7"/>
  <c r="AK158" i="7" l="1"/>
  <c r="AL158" i="7" s="1"/>
  <c r="Y155" i="7"/>
  <c r="X156" i="7"/>
  <c r="AK159" i="7" l="1"/>
  <c r="AL159" i="7" s="1"/>
  <c r="Y156" i="7"/>
  <c r="X157" i="7"/>
  <c r="AK160" i="7" l="1"/>
  <c r="AL160" i="7" s="1"/>
  <c r="X158" i="7"/>
  <c r="Y157" i="7"/>
  <c r="AK161" i="7" l="1"/>
  <c r="AL161" i="7" s="1"/>
  <c r="Y158" i="7"/>
  <c r="X159" i="7"/>
  <c r="Y159" i="7" s="1"/>
  <c r="AK162" i="7" l="1"/>
  <c r="AL162" i="7" s="1"/>
  <c r="X160" i="7"/>
  <c r="AK163" i="7" l="1"/>
  <c r="AL163" i="7" s="1"/>
  <c r="Y160" i="7"/>
  <c r="X161" i="7"/>
  <c r="AK164" i="7" l="1"/>
  <c r="AL164" i="7" s="1"/>
  <c r="Y161" i="7"/>
  <c r="X162" i="7"/>
  <c r="AK165" i="7" l="1"/>
  <c r="AL165" i="7" s="1"/>
  <c r="Y162" i="7"/>
  <c r="X163" i="7"/>
  <c r="AK166" i="7" l="1"/>
  <c r="AL166" i="7" s="1"/>
  <c r="Y163" i="7"/>
  <c r="X164" i="7"/>
  <c r="AK167" i="7" l="1"/>
  <c r="AL167" i="7" s="1"/>
  <c r="Y164" i="7"/>
  <c r="X165" i="7"/>
  <c r="AK168" i="7" l="1"/>
  <c r="AL168" i="7" s="1"/>
  <c r="X166" i="7"/>
  <c r="Y165" i="7"/>
  <c r="AK169" i="7" l="1"/>
  <c r="AL169" i="7" s="1"/>
  <c r="Y166" i="7"/>
  <c r="X167" i="7"/>
  <c r="AK170" i="7" l="1"/>
  <c r="AL170" i="7" s="1"/>
  <c r="Y167" i="7"/>
  <c r="X168" i="7"/>
  <c r="AK171" i="7" l="1"/>
  <c r="AL171" i="7" s="1"/>
  <c r="Y168" i="7"/>
  <c r="X169" i="7"/>
  <c r="AK172" i="7" l="1"/>
  <c r="AL172" i="7" s="1"/>
  <c r="Y169" i="7"/>
  <c r="X170" i="7"/>
  <c r="AK173" i="7" l="1"/>
  <c r="AL173" i="7" s="1"/>
  <c r="Y170" i="7"/>
  <c r="X171" i="7"/>
  <c r="AK174" i="7" l="1"/>
  <c r="AL174" i="7" s="1"/>
  <c r="Y171" i="7"/>
  <c r="X172" i="7"/>
  <c r="AK175" i="7" l="1"/>
  <c r="AL175" i="7" s="1"/>
  <c r="Y172" i="7"/>
  <c r="X173" i="7"/>
  <c r="AK176" i="7" l="1"/>
  <c r="AL176" i="7" s="1"/>
  <c r="Y173" i="7"/>
  <c r="X174" i="7"/>
  <c r="AK177" i="7" l="1"/>
  <c r="AL177" i="7" s="1"/>
  <c r="Y174" i="7"/>
  <c r="X175" i="7"/>
  <c r="AK178" i="7" l="1"/>
  <c r="AL178" i="7" s="1"/>
  <c r="Y175" i="7"/>
  <c r="X176" i="7"/>
  <c r="AK179" i="7" l="1"/>
  <c r="AL179" i="7" s="1"/>
  <c r="Y176" i="7"/>
  <c r="X177" i="7"/>
  <c r="AK180" i="7" l="1"/>
  <c r="AL180" i="7" s="1"/>
  <c r="Y177" i="7"/>
  <c r="X178" i="7"/>
  <c r="AK181" i="7" l="1"/>
  <c r="AL181" i="7" s="1"/>
  <c r="Y178" i="7"/>
  <c r="X179" i="7"/>
  <c r="AK182" i="7" l="1"/>
  <c r="AL182" i="7" s="1"/>
  <c r="Y179" i="7"/>
  <c r="X180" i="7"/>
  <c r="AK183" i="7" l="1"/>
  <c r="AL183" i="7" s="1"/>
  <c r="Y180" i="7"/>
  <c r="X181" i="7"/>
  <c r="AK184" i="7" l="1"/>
  <c r="AL184" i="7" s="1"/>
  <c r="X182" i="7"/>
  <c r="Y181" i="7"/>
  <c r="AK185" i="7" l="1"/>
  <c r="AL185" i="7" s="1"/>
  <c r="Y182" i="7"/>
  <c r="X183" i="7"/>
  <c r="AK186" i="7" l="1"/>
  <c r="AL186" i="7" s="1"/>
  <c r="Y183" i="7"/>
  <c r="X184" i="7"/>
  <c r="AK187" i="7" l="1"/>
  <c r="AL187" i="7" s="1"/>
  <c r="Y184" i="7"/>
  <c r="X185" i="7"/>
  <c r="AK188" i="7" l="1"/>
  <c r="AL188" i="7" s="1"/>
  <c r="AP32" i="7" s="1"/>
  <c r="N56" i="4" s="1"/>
  <c r="Y185" i="7"/>
  <c r="X186" i="7"/>
  <c r="AP33" i="7" l="1"/>
  <c r="P56" i="4" s="1"/>
  <c r="Y186" i="7"/>
  <c r="X187" i="7"/>
  <c r="Y187" i="7" l="1"/>
  <c r="X188" i="7"/>
  <c r="Y188" i="7" s="1"/>
  <c r="AC33" i="7" l="1"/>
  <c r="AC34" i="7" s="1"/>
  <c r="L57" i="11" l="1"/>
  <c r="M57" i="11" s="1"/>
  <c r="P57" i="11" s="1"/>
  <c r="K60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tc={4517A314-62E6-4A4D-B40A-CB30CE208EC2}</author>
  </authors>
  <commentList>
    <comment ref="E125" authorId="0" shapeId="0" xr:uid="{4517A314-62E6-4A4D-B40A-CB30CE208EC2}">
      <text>
        <t>[Threaded comment]
Your version of Excel allows you to read this threaded comment; however, any edits to it will get removed if the file is opened in a newer version of Excel. Learn more: https://go.microsoft.com/fwlink/?linkid=870924
Comment:
    so incredibly sexy
6969 420 :)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<sst xmlns="http://schemas.openxmlformats.org/spreadsheetml/2006/main" count="944" uniqueCount="545">
  <si>
    <t>Instructions</t>
  </si>
  <si>
    <t>Only input text into boxes that look like this:</t>
  </si>
  <si>
    <t>Input Box</t>
  </si>
  <si>
    <t>Do not put text into boxes that look like this:</t>
  </si>
  <si>
    <t>NO INPUT</t>
  </si>
  <si>
    <t>Each calculation has the equation next to it</t>
  </si>
  <si>
    <t>All sources are found on the "Resources" tab</t>
  </si>
  <si>
    <t>All values should be double checked with external sources, this is not 100% appliable source for design</t>
  </si>
  <si>
    <t>Add any necessary Calculation on a new sheet by clicking the plus at the bottom</t>
  </si>
  <si>
    <t>Make sure to move the slider to Max Speed and Angle of Attack</t>
  </si>
  <si>
    <t>Select:</t>
  </si>
  <si>
    <t>Tools</t>
  </si>
  <si>
    <t>Component Analysis</t>
  </si>
  <si>
    <t>To find Distance from the tip to the CP of components AND C(Nalpa)</t>
  </si>
  <si>
    <t>To find Coefficient of Drag</t>
  </si>
  <si>
    <t>Stability</t>
  </si>
  <si>
    <t>Drag Characteristics</t>
  </si>
  <si>
    <t>Inputs</t>
  </si>
  <si>
    <t>Outputs</t>
  </si>
  <si>
    <t>Aerodynamics Inputs</t>
  </si>
  <si>
    <t>Aerodynamics Outputs</t>
  </si>
  <si>
    <t>Air Density (kg/M^3)</t>
  </si>
  <si>
    <t>Motor Burn Out Altitude (ASL) (ft)</t>
  </si>
  <si>
    <t>Velocity (ft/s)</t>
  </si>
  <si>
    <t>max gs</t>
  </si>
  <si>
    <t>AoA (Deg)</t>
  </si>
  <si>
    <t>CNalpha (nose cone</t>
  </si>
  <si>
    <t>CN alpha (fins)</t>
  </si>
  <si>
    <t>Total Rocket Cd</t>
  </si>
  <si>
    <t>Total Rocket Pressure Cd</t>
  </si>
  <si>
    <t>Dynamic Pressure (PSI)</t>
  </si>
  <si>
    <t>Normal Force on Nose Cone (lbf)</t>
  </si>
  <si>
    <t>Normal Force on Fins (lbf)</t>
  </si>
  <si>
    <t>Total Drag Force (lb)</t>
  </si>
  <si>
    <t>Pressure Drag Force (lb)</t>
  </si>
  <si>
    <t>Rocket Dimensions</t>
  </si>
  <si>
    <t>Body Tube Loads</t>
  </si>
  <si>
    <t>mass (lb.)</t>
  </si>
  <si>
    <t>Total Length (in)</t>
  </si>
  <si>
    <t xml:space="preserve">Nose Cone Base Diameter(in) </t>
  </si>
  <si>
    <t>OD of Rocket (in)</t>
  </si>
  <si>
    <t>ID of Rocket (in)</t>
  </si>
  <si>
    <t>OD of Coupler (in)</t>
  </si>
  <si>
    <t>Distance from Tip to Nose Cone CP Xn (in)</t>
  </si>
  <si>
    <t>Distance from tip to rocket CG (in)</t>
  </si>
  <si>
    <t>Distance from tip to Fins CP (in) Xf</t>
  </si>
  <si>
    <t>Distributed load W1 (lb/in)</t>
  </si>
  <si>
    <t>Distributed load W2 (lb/in)</t>
  </si>
  <si>
    <t>Lateral Shear V1 (lbf)</t>
  </si>
  <si>
    <t>Lateral Shear V2 (lbf)</t>
  </si>
  <si>
    <t>Fin Dimensions</t>
  </si>
  <si>
    <t>Forward Moment/Bending Moment</t>
  </si>
  <si>
    <t>Fin Root Chord (in)</t>
  </si>
  <si>
    <t>Fin Tip Chord (in)</t>
  </si>
  <si>
    <t>Fin Hight (in)</t>
  </si>
  <si>
    <t>M1 Max Moment (lb in)</t>
  </si>
  <si>
    <t>Max  Forward Bending Moment (lb in )</t>
  </si>
  <si>
    <t>Location of Max Forward Bending (in)</t>
  </si>
  <si>
    <t>Motor Specs</t>
  </si>
  <si>
    <t>Aft Moment/Bending Moment</t>
  </si>
  <si>
    <t>Maximum Thrust (lbf)</t>
  </si>
  <si>
    <t>M2 Max Moment (lb in)</t>
  </si>
  <si>
    <t>Max Aft Bending Moment (lb in )</t>
  </si>
  <si>
    <t>Location of Max Aft Bending  (in)</t>
  </si>
  <si>
    <t>Bolt Sizing</t>
  </si>
  <si>
    <t>Compressive Loads (PSI)</t>
  </si>
  <si>
    <t xml:space="preserve"> (Aera = Cross-sectional Area of a Body Tube)</t>
  </si>
  <si>
    <t>Bolt Type</t>
  </si>
  <si>
    <t>Wall thickness (in)</t>
  </si>
  <si>
    <t>SF of Bolts</t>
  </si>
  <si>
    <t>Compressive Drag (PSI)</t>
  </si>
  <si>
    <t>1/4 - 20</t>
  </si>
  <si>
    <t>Compressive Loads Bolts</t>
  </si>
  <si>
    <t>Tensile Loads Bolts</t>
  </si>
  <si>
    <t>Number of Bolts</t>
  </si>
  <si>
    <t>Num Bolts With SF</t>
  </si>
  <si>
    <t>Num of Bolts to even Number</t>
  </si>
  <si>
    <t>Mass inertia compression (PSI)</t>
  </si>
  <si>
    <t>~</t>
  </si>
  <si>
    <t>Shear Stress Per Bolt (PSI)</t>
  </si>
  <si>
    <t>Shear Force per Bolt (lb)</t>
  </si>
  <si>
    <t>Engine Thrust Compression (PSI)</t>
  </si>
  <si>
    <t>Compressive Loads Aluminium</t>
  </si>
  <si>
    <t>Tensile Loads Aluminium</t>
  </si>
  <si>
    <t>Total Compressive (PSI)</t>
  </si>
  <si>
    <t>Max Compressive Force (lb)</t>
  </si>
  <si>
    <t>Tube Cross-sectional Area (in^2)</t>
  </si>
  <si>
    <t>Bearing Stress (psi)</t>
  </si>
  <si>
    <t>Saftey Factor</t>
  </si>
  <si>
    <t>Tensile Loads</t>
  </si>
  <si>
    <t>Minimum Edge distance (in)</t>
  </si>
  <si>
    <t>Total Tensile (PSI)</t>
  </si>
  <si>
    <t>Snatch Force (lbf)</t>
  </si>
  <si>
    <t>Max Bending Stress on Body (PSI)</t>
  </si>
  <si>
    <t>Linear Distance Between bolts</t>
  </si>
  <si>
    <t>M1 Bending Max</t>
  </si>
  <si>
    <t>M2 Bending Max</t>
  </si>
  <si>
    <t xml:space="preserve">Bolt Sizing </t>
  </si>
  <si>
    <t>Dynamic Viscosity (lbs/ft^2)</t>
  </si>
  <si>
    <t>Avg L of Fins (in) (ft)</t>
  </si>
  <si>
    <t>Density (lbs/ft^3)</t>
  </si>
  <si>
    <t xml:space="preserve">      </t>
  </si>
  <si>
    <t>Bolt Shear Per Bolt</t>
  </si>
  <si>
    <t>Bearing Stress Per Bolt (psi)</t>
  </si>
  <si>
    <t>Stress (PSI)</t>
  </si>
  <si>
    <t>Force (lb)</t>
  </si>
  <si>
    <t>Rule of Thumb</t>
  </si>
  <si>
    <t>Math</t>
  </si>
  <si>
    <t>Air Density (kg/m^3)</t>
  </si>
  <si>
    <t>Max Velocity (ft/s)</t>
  </si>
  <si>
    <t>Total Coefficient of drag</t>
  </si>
  <si>
    <t>Pressure Drag Coefficient</t>
  </si>
  <si>
    <t>Do not edit on this page</t>
  </si>
  <si>
    <t>mass (lbm)</t>
  </si>
  <si>
    <t>OD of Rocket(inches)</t>
  </si>
  <si>
    <t>ID of Rocket (inches)</t>
  </si>
  <si>
    <t>Distance from Tip to Nose Cone CP (Xn) in</t>
  </si>
  <si>
    <t>Lateral Shear (lbs)</t>
  </si>
  <si>
    <t>Bending Moment (lb - in)</t>
  </si>
  <si>
    <t>composite allowable stress (psi)</t>
  </si>
  <si>
    <t>number of bolts</t>
  </si>
  <si>
    <t>bolt major diameter (in)</t>
  </si>
  <si>
    <t>Distance from Tip (in)</t>
  </si>
  <si>
    <t>Shear V1</t>
  </si>
  <si>
    <t>Distance from Tip (in)2</t>
  </si>
  <si>
    <t>Shear V2</t>
  </si>
  <si>
    <t>Moment M1</t>
  </si>
  <si>
    <t>Moment M2</t>
  </si>
  <si>
    <t>(pi*r^2)</t>
  </si>
  <si>
    <t>( x*( pi/180) )</t>
  </si>
  <si>
    <t>Derived Values</t>
  </si>
  <si>
    <t>Drag Cross-sectional Area (in^2)</t>
  </si>
  <si>
    <t>Fin Cross-sectional Area (in^2)</t>
  </si>
  <si>
    <t>AoA (radians)</t>
  </si>
  <si>
    <t>gravity (ft/s^2)</t>
  </si>
  <si>
    <t>X1 (in)</t>
  </si>
  <si>
    <t>X2 (in)</t>
  </si>
  <si>
    <t>Distance from N(cp) to Fin(cp) (L) in</t>
  </si>
  <si>
    <t>Do not edit.</t>
  </si>
  <si>
    <t>Max Velocity (m/s)</t>
  </si>
  <si>
    <t>Dynamic Pressure (Pa)</t>
  </si>
  <si>
    <t>Max Q[Dynamic Pressure] (Psi)</t>
  </si>
  <si>
    <t>Reference Area (in^2)</t>
  </si>
  <si>
    <t>Normal Force on Nose Cone(lbf)</t>
  </si>
  <si>
    <t>M1</t>
  </si>
  <si>
    <t>M2</t>
  </si>
  <si>
    <t>V1</t>
  </si>
  <si>
    <t>V2</t>
  </si>
  <si>
    <t>Max (lb - in)</t>
  </si>
  <si>
    <t>Max (lbs)</t>
  </si>
  <si>
    <t>Normal Force on Fins(lbf)</t>
  </si>
  <si>
    <t>coefficient of drag</t>
  </si>
  <si>
    <t>Cross-sectional Area (m^2)</t>
  </si>
  <si>
    <t>Total Drag Force (N)</t>
  </si>
  <si>
    <t>coefficient of pressure drag</t>
  </si>
  <si>
    <t>Pressure Drag Force (N)</t>
  </si>
  <si>
    <t>Distance from NC base to CG (in)X1</t>
  </si>
  <si>
    <t>Distance from aft to CG (in) X2</t>
  </si>
  <si>
    <t>Distributed load W1(lb/in)</t>
  </si>
  <si>
    <t>Distributed load W2(lb/in)</t>
  </si>
  <si>
    <t>M1 Max Moment (lbin)</t>
  </si>
  <si>
    <t>Lateral Shear (V1) (lbf)</t>
  </si>
  <si>
    <t>M2 Max Moment (lbin)</t>
  </si>
  <si>
    <t>term 1</t>
  </si>
  <si>
    <t xml:space="preserve">term 2 </t>
  </si>
  <si>
    <t>term 3</t>
  </si>
  <si>
    <t>Lateral Shear (V2) (lbf)</t>
  </si>
  <si>
    <t>From tip</t>
  </si>
  <si>
    <t>Bending Moment(s)</t>
  </si>
  <si>
    <t>Section Modulus Z (in^3)</t>
  </si>
  <si>
    <t>???</t>
  </si>
  <si>
    <t>I</t>
  </si>
  <si>
    <t>c</t>
  </si>
  <si>
    <t>m</t>
  </si>
  <si>
    <t>Mc</t>
  </si>
  <si>
    <t>i</t>
  </si>
  <si>
    <t>Thrust Force (lb)</t>
  </si>
  <si>
    <t>Force Drag (lb)</t>
  </si>
  <si>
    <t>Mass (lb)</t>
  </si>
  <si>
    <t>Max Gs</t>
  </si>
  <si>
    <t>Total Compressive w/o bending</t>
  </si>
  <si>
    <t># of layer</t>
  </si>
  <si>
    <t>thickness of layers</t>
  </si>
  <si>
    <t>pi ((ri+ #layers* thickness)-ro^2)^2</t>
  </si>
  <si>
    <t>PI*(((r_i+((#layers*layer thickness)))^2)-(r_i^2))</t>
  </si>
  <si>
    <t>Nosecone Force Calcs</t>
  </si>
  <si>
    <t>Input</t>
  </si>
  <si>
    <t>Output</t>
  </si>
  <si>
    <t>Layer Thickness (in)</t>
  </si>
  <si>
    <t>Number of   Layers</t>
  </si>
  <si>
    <t>Radius at Location on NoseCone (in)</t>
  </si>
  <si>
    <t>Mass of Tip   (lbm)</t>
  </si>
  <si>
    <t>Mass of Water (lbm)</t>
  </si>
  <si>
    <t>Normal Force  (lbf)</t>
  </si>
  <si>
    <t>Total Compressive (lbf)</t>
  </si>
  <si>
    <t>Total Thickness (in)</t>
  </si>
  <si>
    <t>Loaded  Area (in^2)</t>
  </si>
  <si>
    <t>Max Stress (psi)</t>
  </si>
  <si>
    <t>Thickness:     Light: 0.01 Medium: 0.016 Heavy: 0.027</t>
  </si>
  <si>
    <t>6061 uts (psi)</t>
  </si>
  <si>
    <t>Bolt Table</t>
  </si>
  <si>
    <t>Screw size/tpi</t>
  </si>
  <si>
    <t>Dmajor (in)</t>
  </si>
  <si>
    <t>Dminor</t>
  </si>
  <si>
    <t>Amajor</t>
  </si>
  <si>
    <t>Aminor</t>
  </si>
  <si>
    <t>Ultimae Shear Strength (lbf)</t>
  </si>
  <si>
    <t>Ultimae Tensile Strength (lbf)</t>
  </si>
  <si>
    <t>Threads Per Inch</t>
  </si>
  <si>
    <t>#10 - 24</t>
  </si>
  <si>
    <t>Dmajor Bolts</t>
  </si>
  <si>
    <t>Ultimate Shear Strength (lbf)</t>
  </si>
  <si>
    <t>Ultimate Tensile Strength (lbf)</t>
  </si>
  <si>
    <t>#10 - 32</t>
  </si>
  <si>
    <t>1/4 - 28</t>
  </si>
  <si>
    <t>5/16 - 20</t>
  </si>
  <si>
    <t>5/16 - 18</t>
  </si>
  <si>
    <t>3/8 - 16</t>
  </si>
  <si>
    <t>3/8 -24</t>
  </si>
  <si>
    <t>Snatch Force (lb ft)</t>
  </si>
  <si>
    <t>Maximum Bending Force (lb in)</t>
  </si>
  <si>
    <t>Maximum Thrust (lb)</t>
  </si>
  <si>
    <t>Compressive Loads</t>
  </si>
  <si>
    <t>Safety Factor</t>
  </si>
  <si>
    <t>A minor</t>
  </si>
  <si>
    <t>Bolt Diameter</t>
  </si>
  <si>
    <t>Shear Force Per Bolt (lb)</t>
  </si>
  <si>
    <t>Max Tensile Force (lb)</t>
  </si>
  <si>
    <t>Compressive Bearing Stress</t>
  </si>
  <si>
    <t>Ultimate Bearing Strength(psi)</t>
  </si>
  <si>
    <t>Bearing Stress</t>
  </si>
  <si>
    <t>Tensile Bearing Stress</t>
  </si>
  <si>
    <t>Allowable Shear Stress(psi)</t>
  </si>
  <si>
    <t>Thickness (in)</t>
  </si>
  <si>
    <t>Tear out Force Per Bolt (lb)</t>
  </si>
  <si>
    <t>Edge distance (in)</t>
  </si>
  <si>
    <t>Tensile Tear Out</t>
  </si>
  <si>
    <t>Minimum Edge Distance</t>
  </si>
  <si>
    <t>Bolt Diameter (in)</t>
  </si>
  <si>
    <t>Use this</t>
  </si>
  <si>
    <t>COMPOSITES SHEARING STRENGTH/LOAD</t>
  </si>
  <si>
    <t>Thickness of composite(in)</t>
  </si>
  <si>
    <t>Edge Distance</t>
  </si>
  <si>
    <t>Allowable shear stress (psi) 6 ply</t>
  </si>
  <si>
    <t>Column1</t>
  </si>
  <si>
    <t>lb f</t>
  </si>
  <si>
    <t>&lt;--- Force to cause failure of composites</t>
  </si>
  <si>
    <t>Assuming that there no loss of energy between the force transferred from the g10 recovery head to the composites</t>
  </si>
  <si>
    <t>1) determine max force on rocket in lb</t>
  </si>
  <si>
    <t>(For 1 ply)</t>
  </si>
  <si>
    <t>Shear Strength S</t>
  </si>
  <si>
    <t>psi</t>
  </si>
  <si>
    <t>Mpa</t>
  </si>
  <si>
    <t>2) compare with table  with edge distance as the parameter</t>
  </si>
  <si>
    <t>6 ply</t>
  </si>
  <si>
    <t>429.59?</t>
  </si>
  <si>
    <t>Thickness of Composite</t>
  </si>
  <si>
    <t>Allowable Shear Stress</t>
  </si>
  <si>
    <t>Force to Cause Failure</t>
  </si>
  <si>
    <t xml:space="preserve"> Min Edge distance----&gt;</t>
  </si>
  <si>
    <t>Snatch Force Calcs</t>
  </si>
  <si>
    <t>Updated------------&gt;</t>
  </si>
  <si>
    <t>msg Matthew D if upadating is needed</t>
  </si>
  <si>
    <t>Rocket Mass (lbs)</t>
  </si>
  <si>
    <t>Drogue Diameter (in)</t>
  </si>
  <si>
    <t>Gravity</t>
  </si>
  <si>
    <t>Decent speed Ft/s</t>
  </si>
  <si>
    <t>Drouge Area</t>
  </si>
  <si>
    <t>Main Diameter in</t>
  </si>
  <si>
    <t>Main radius (in)</t>
  </si>
  <si>
    <t xml:space="preserve">Main Area </t>
  </si>
  <si>
    <t>Impearil</t>
  </si>
  <si>
    <t>Main</t>
  </si>
  <si>
    <t>Metric</t>
  </si>
  <si>
    <t>Snatch Force (N)</t>
  </si>
  <si>
    <t>Snatch Force (lbs)</t>
  </si>
  <si>
    <t>SF</t>
  </si>
  <si>
    <t>Focre*SF (lbs)</t>
  </si>
  <si>
    <t>Kg</t>
  </si>
  <si>
    <t>m/s^2</t>
  </si>
  <si>
    <t>m/s</t>
  </si>
  <si>
    <t xml:space="preserve">m </t>
  </si>
  <si>
    <t>Drouge</t>
  </si>
  <si>
    <t>Density of Air (kg/m^3)</t>
  </si>
  <si>
    <t>Drogue Velocity (m/s)</t>
  </si>
  <si>
    <t>Coefficient of Friction of Drouge Chute</t>
  </si>
  <si>
    <t>Coefficient of Friction of Main Chute</t>
  </si>
  <si>
    <t>Am (m^2)</t>
  </si>
  <si>
    <t>drouge deployment speed</t>
  </si>
  <si>
    <t>x</t>
  </si>
  <si>
    <t>Questionable-----&gt;</t>
  </si>
  <si>
    <t>Ignore it</t>
  </si>
  <si>
    <t>Bulkhead Failure Mode</t>
  </si>
  <si>
    <t>U-bolt Back Length (in)</t>
  </si>
  <si>
    <t>U-bolt Back Width (in)</t>
  </si>
  <si>
    <t>Snatch Force</t>
  </si>
  <si>
    <t>Aera (Perimeter) in^2</t>
  </si>
  <si>
    <t>G10 FR4 Shear Strength (PSI)</t>
  </si>
  <si>
    <t>Shear Stress (PSI)</t>
  </si>
  <si>
    <t>Parachute Descent Calculations (rocketmime.com)</t>
  </si>
  <si>
    <t>Parachute Selection and Snatch Force - Launch Initiative - RIT Wiki</t>
  </si>
  <si>
    <t xml:space="preserve"> </t>
  </si>
  <si>
    <t>U-Bolt Calc</t>
  </si>
  <si>
    <t>U-bolt Strength (lb)</t>
  </si>
  <si>
    <t>U-Bolt SF</t>
  </si>
  <si>
    <t>Snatch Force Ring Calc</t>
  </si>
  <si>
    <t>Dminor (in)</t>
  </si>
  <si>
    <t>Thread Per In</t>
  </si>
  <si>
    <t>Thickness of Coupler (in)</t>
  </si>
  <si>
    <t>Coupler OD (in)</t>
  </si>
  <si>
    <t>Coupler ID (in)</t>
  </si>
  <si>
    <t>Coupler Cross Section (in)</t>
  </si>
  <si>
    <t>Shear Force Per Bolt</t>
  </si>
  <si>
    <t>??????</t>
  </si>
  <si>
    <t>Cant find info</t>
  </si>
  <si>
    <t>6" G12 Coupler - Madcow Rocketry</t>
  </si>
  <si>
    <t>fiberglasslaminates.indd (laminatedplastics.com)</t>
  </si>
  <si>
    <t>^^Use G10</t>
  </si>
  <si>
    <t>Length of Thread Engamenet</t>
  </si>
  <si>
    <t>Major Diameter (in)</t>
  </si>
  <si>
    <t>Thread Per (in)</t>
  </si>
  <si>
    <t>Thread Shear Area (in^2)</t>
  </si>
  <si>
    <t>Shear Stress</t>
  </si>
  <si>
    <t>SF of U-Bolts</t>
  </si>
  <si>
    <t>UNKNOWN</t>
  </si>
  <si>
    <r>
      <rPr>
        <b/>
        <sz val="11"/>
        <color rgb="FF000000"/>
        <rFont val="Calibri"/>
        <family val="2"/>
        <scheme val="minor"/>
      </rPr>
      <t xml:space="preserve">              Nx</t>
    </r>
    <r>
      <rPr>
        <sz val="11"/>
        <color rgb="FF000000"/>
        <rFont val="Calibri"/>
        <family val="2"/>
        <scheme val="minor"/>
      </rPr>
      <t xml:space="preserve">                         (from Compression)</t>
    </r>
  </si>
  <si>
    <r>
      <rPr>
        <b/>
        <sz val="11"/>
        <color rgb="FF000000"/>
        <rFont val="Calibri"/>
        <family val="2"/>
        <scheme val="minor"/>
      </rPr>
      <t xml:space="preserve">              Nx</t>
    </r>
    <r>
      <rPr>
        <sz val="11"/>
        <color rgb="FF000000"/>
        <rFont val="Calibri"/>
        <family val="2"/>
        <scheme val="minor"/>
      </rPr>
      <t xml:space="preserve">                        (from Snatch Force)</t>
    </r>
  </si>
  <si>
    <t>Ny</t>
  </si>
  <si>
    <t>Nxy</t>
  </si>
  <si>
    <t>Mx</t>
  </si>
  <si>
    <t>My</t>
  </si>
  <si>
    <t>Mxy</t>
  </si>
  <si>
    <t>Max Body Tube Length (in)</t>
  </si>
  <si>
    <t># of Layers</t>
  </si>
  <si>
    <t>Layer Thickness</t>
  </si>
  <si>
    <t>Layer</t>
  </si>
  <si>
    <t>Circumference</t>
  </si>
  <si>
    <t>Total Lengths of Body Tubes</t>
  </si>
  <si>
    <t>Rolls Needed</t>
  </si>
  <si>
    <t>Price Per Yard</t>
  </si>
  <si>
    <t>Rolls Neede SF</t>
  </si>
  <si>
    <t>Total Yardage</t>
  </si>
  <si>
    <t>Price</t>
  </si>
  <si>
    <t>Price with Discount</t>
  </si>
  <si>
    <t>Price with Taxes</t>
  </si>
  <si>
    <t>Shipping</t>
  </si>
  <si>
    <t>Dry Ice Packaging</t>
  </si>
  <si>
    <t>Total Price w/ Shipping</t>
  </si>
  <si>
    <t>Discount Total</t>
  </si>
  <si>
    <t>Total Length (yard)</t>
  </si>
  <si>
    <t>Total Length SF (Yard)</t>
  </si>
  <si>
    <t>Fiberglass Sleeves Nosecone</t>
  </si>
  <si>
    <t>$/yd</t>
  </si>
  <si>
    <t>24in</t>
  </si>
  <si>
    <t>.</t>
  </si>
  <si>
    <t>3''</t>
  </si>
  <si>
    <t xml:space="preserve">39.4 in </t>
  </si>
  <si>
    <t>6''</t>
  </si>
  <si>
    <t>https://compositeenvisions.com/product/fiberglass-e-glass-fabric-sleeve/</t>
  </si>
  <si>
    <t>Layers</t>
  </si>
  <si>
    <t>Payload Body tube</t>
  </si>
  <si>
    <t>6 layers</t>
  </si>
  <si>
    <t>Recovery Switch ring</t>
  </si>
  <si>
    <t>Lower recovery tube</t>
  </si>
  <si>
    <t>Length (in)</t>
  </si>
  <si>
    <t>Total (Yrds)</t>
  </si>
  <si>
    <t>in</t>
  </si>
  <si>
    <t>yrds</t>
  </si>
  <si>
    <t>N tank</t>
  </si>
  <si>
    <t>nitrogen valves mount</t>
  </si>
  <si>
    <t>fuel tube</t>
  </si>
  <si>
    <t>fuel valves mount</t>
  </si>
  <si>
    <t>oxygen tube</t>
  </si>
  <si>
    <t>Drogue Tube</t>
  </si>
  <si>
    <t>CC</t>
  </si>
  <si>
    <t>-2 layers (skins!)</t>
  </si>
  <si>
    <t>OX</t>
  </si>
  <si>
    <t>boat tail</t>
  </si>
  <si>
    <t>thiccc</t>
  </si>
  <si>
    <t>total 6 layers</t>
  </si>
  <si>
    <t>total 2 layers</t>
  </si>
  <si>
    <t>Total</t>
  </si>
  <si>
    <t>boat Tail 8 layers</t>
  </si>
  <si>
    <t>SF = 1.5</t>
  </si>
  <si>
    <t>Boat Tail Shoulder 8 layers</t>
  </si>
  <si>
    <t>Area of prepreg needed</t>
  </si>
  <si>
    <t>Yardage on Roll</t>
  </si>
  <si>
    <t>YardageSF</t>
  </si>
  <si>
    <t>(Rounded up) (yd)</t>
  </si>
  <si>
    <t>Boat tail total</t>
  </si>
  <si>
    <t>yrd</t>
  </si>
  <si>
    <t>price</t>
  </si>
  <si>
    <t>price w/ discount</t>
  </si>
  <si>
    <t>price with taxes</t>
  </si>
  <si>
    <t>total price?</t>
  </si>
  <si>
    <t>5 per every 8in</t>
  </si>
  <si>
    <t>discount</t>
  </si>
  <si>
    <t xml:space="preserve"> Bulkhead Thickness (in)</t>
  </si>
  <si>
    <t>G10 or G12</t>
  </si>
  <si>
    <t>Chassis Window Length (In)</t>
  </si>
  <si>
    <t>Drogue Tube to Bulkhead Length (in)</t>
  </si>
  <si>
    <t>Vent Hole Diameter (in)</t>
  </si>
  <si>
    <t>Aera Ref</t>
  </si>
  <si>
    <t>Hole Diameter</t>
  </si>
  <si>
    <t>Compartment Name</t>
  </si>
  <si>
    <t>Compartment Length (in)</t>
  </si>
  <si>
    <t>Compartment Diameter ID (in)</t>
  </si>
  <si>
    <t>Volume of Reference (in^3)</t>
  </si>
  <si>
    <t>Number Of Vent Holes</t>
  </si>
  <si>
    <t>Propulsion Bay</t>
  </si>
  <si>
    <t>Drogue Bay</t>
  </si>
  <si>
    <t>Recovery Bay</t>
  </si>
  <si>
    <t>Main Bay</t>
  </si>
  <si>
    <t>SURFACE AREA OF FIN (S)</t>
  </si>
  <si>
    <t>ASPECT RATIO OF FIN (AR)</t>
  </si>
  <si>
    <t>PITCH BREAK (λ)</t>
  </si>
  <si>
    <t>SHEAR MODULUS (PSI)</t>
  </si>
  <si>
    <t>HEIGHT AT MAX VELOCITY</t>
  </si>
  <si>
    <t>Root Chord</t>
  </si>
  <si>
    <t>Tip Chord</t>
  </si>
  <si>
    <t>Span (Height)</t>
  </si>
  <si>
    <t>Fin Thickness</t>
  </si>
  <si>
    <t>Wing Area</t>
  </si>
  <si>
    <t>G</t>
  </si>
  <si>
    <t>AIR PRESSURE (P) (lbs/ft^2)</t>
  </si>
  <si>
    <t>SPEED OF SOUND (a)</t>
  </si>
  <si>
    <t>Temp (F)</t>
  </si>
  <si>
    <t>a</t>
  </si>
  <si>
    <t>FLUTTER VELOCITY =</t>
  </si>
  <si>
    <t>Calculated Outputs</t>
  </si>
  <si>
    <t>Variable</t>
  </si>
  <si>
    <t>Units</t>
  </si>
  <si>
    <t>Value</t>
  </si>
  <si>
    <t>Max. Velocity</t>
  </si>
  <si>
    <t>ft/s</t>
  </si>
  <si>
    <t>Surface Area</t>
  </si>
  <si>
    <t>in^2</t>
  </si>
  <si>
    <t>Chord Ratio</t>
  </si>
  <si>
    <t>N/A</t>
  </si>
  <si>
    <t>Aspect Ratio</t>
  </si>
  <si>
    <t>Fin Span</t>
  </si>
  <si>
    <t>Temperature</t>
  </si>
  <si>
    <t>Fahrenheit</t>
  </si>
  <si>
    <t>Pressure</t>
  </si>
  <si>
    <t>Max Q Height (above sea level)</t>
  </si>
  <si>
    <t>ft</t>
  </si>
  <si>
    <t>Speed of Sound</t>
  </si>
  <si>
    <t>Shear Modulus</t>
  </si>
  <si>
    <t>Flutter Velocity</t>
  </si>
  <si>
    <t>Explanation to what Fin Flutter is right here:</t>
  </si>
  <si>
    <t>https://apogeerockets.com/education/downloads/Newsletter291.pdf</t>
  </si>
  <si>
    <t>Max Bending Force (lb-in)</t>
  </si>
  <si>
    <t>Length of Strut (in)</t>
  </si>
  <si>
    <t>Diamter of Rod (in)</t>
  </si>
  <si>
    <t>Max Bending Stress (PSI)</t>
  </si>
  <si>
    <t>Bending Stress (PSI)</t>
  </si>
  <si>
    <t>Strain</t>
  </si>
  <si>
    <t>Modules of Elasticity (psi)</t>
  </si>
  <si>
    <t>Change in Length (in)</t>
  </si>
  <si>
    <t>Strut (Rod) Deformation</t>
  </si>
  <si>
    <t>Bolted Joint Analysis | MechaniCalc</t>
  </si>
  <si>
    <t>Threaded Connection</t>
  </si>
  <si>
    <t>Normal (Major) Diameter (in)</t>
  </si>
  <si>
    <t>Threads Per Inch (in^-1)</t>
  </si>
  <si>
    <t>External Threads Per Inch (in^-1)</t>
  </si>
  <si>
    <t>External Pitch (in)</t>
  </si>
  <si>
    <t>Rod Type</t>
  </si>
  <si>
    <t>3/8"-16 x 1' 304 Stainless Steel Threaded Rod – Fasteners Plus</t>
  </si>
  <si>
    <t>3/8"-16</t>
  </si>
  <si>
    <t>Pitch (degrees)</t>
  </si>
  <si>
    <t>Rod  Type</t>
  </si>
  <si>
    <t>Material</t>
  </si>
  <si>
    <t>Modulus Elasticity (psi)</t>
  </si>
  <si>
    <t>External Minor Diameter (in)</t>
  </si>
  <si>
    <t>External Picth Diameter (in)</t>
  </si>
  <si>
    <t>Internal Minor Diameter (in)</t>
  </si>
  <si>
    <t>Internal Picth Diameter (in)</t>
  </si>
  <si>
    <t>Nominal Area (in^2)</t>
  </si>
  <si>
    <t>Tensile Stress Area (in^2)</t>
  </si>
  <si>
    <t>Minor Area/ Shear Area (in^2)</t>
  </si>
  <si>
    <t xml:space="preserve"> Normal (Major) Diameter (in)</t>
  </si>
  <si>
    <t xml:space="preserve">Normal (major) Diamater </t>
  </si>
  <si>
    <t>304 Stainless Steel</t>
  </si>
  <si>
    <t>Tensile (psi)</t>
  </si>
  <si>
    <t>Shear Strength (psi)</t>
  </si>
  <si>
    <t>Tensile Strength (psi)</t>
  </si>
  <si>
    <t>Rod Shear Stress</t>
  </si>
  <si>
    <t>Max Bending Force Per Rod (lb-in)</t>
  </si>
  <si>
    <t>Rod SF</t>
  </si>
  <si>
    <t>Force</t>
  </si>
  <si>
    <t>Length of Engagment (in)</t>
  </si>
  <si>
    <t>Fastener Threaded Shear Area Equation and Calculator ISO 898 (engineersedge.com)</t>
  </si>
  <si>
    <t>Pitch Circel Diameter of thread/ internal Pitch Diameter (in)</t>
  </si>
  <si>
    <t>Threaded Rod Connection</t>
  </si>
  <si>
    <t>Threaded Foot - Rod Connection</t>
  </si>
  <si>
    <t>Threaded Foot - Rod Shear Stress</t>
  </si>
  <si>
    <t>Threaded Foot - Rod SF</t>
  </si>
  <si>
    <t>Threaded Foot - Chassis</t>
  </si>
  <si>
    <t>Threaded Foot - Chassis Shear Stress</t>
  </si>
  <si>
    <t>Threaded Foot shear</t>
  </si>
  <si>
    <t>Foot Crossectional Area (in^2)</t>
  </si>
  <si>
    <t>Width (in)</t>
  </si>
  <si>
    <t>Height (in)</t>
  </si>
  <si>
    <t>Min Number of Bolts</t>
  </si>
  <si>
    <t>Sheet Sizes</t>
  </si>
  <si>
    <t>Area (in^2)</t>
  </si>
  <si>
    <t>Components</t>
  </si>
  <si>
    <t>Diamter (in)</t>
  </si>
  <si>
    <t>Recovery Bulkhead</t>
  </si>
  <si>
    <t>Quanity</t>
  </si>
  <si>
    <t>Nitrogen Tank Mount</t>
  </si>
  <si>
    <t>Area Square</t>
  </si>
  <si>
    <t>Area Circle</t>
  </si>
  <si>
    <t>Total Area Needed</t>
  </si>
  <si>
    <t>ASS Mount</t>
  </si>
  <si>
    <t>Num of plates</t>
  </si>
  <si>
    <t>6 bulkheads per plate</t>
  </si>
  <si>
    <t>total num of bulkheads</t>
  </si>
  <si>
    <t>Min num of Plates</t>
  </si>
  <si>
    <t>SF number of plates</t>
  </si>
  <si>
    <t>Coupler Thickness</t>
  </si>
  <si>
    <t>ID</t>
  </si>
  <si>
    <t>Num of Layers</t>
  </si>
  <si>
    <t>Layers (Outside to inside)</t>
  </si>
  <si>
    <t>Diameter</t>
  </si>
  <si>
    <t>Total Length (yrd)</t>
  </si>
  <si>
    <t>Yard Width</t>
  </si>
  <si>
    <t>Couplers Per Roll</t>
  </si>
  <si>
    <t>S.F for Edges</t>
  </si>
  <si>
    <t>Coupler Height</t>
  </si>
  <si>
    <t>Num of Couplers</t>
  </si>
  <si>
    <t>Total Yards needed</t>
  </si>
  <si>
    <t>Total Cost</t>
  </si>
  <si>
    <t>Cost per Yard</t>
  </si>
  <si>
    <t>Yard Roudned</t>
  </si>
  <si>
    <t>Toobs Length SF 1.5</t>
  </si>
  <si>
    <t>Toobs Length Rounded</t>
  </si>
  <si>
    <t>Boat Tail SF 1.5</t>
  </si>
  <si>
    <t>Boat Tail Rounded</t>
  </si>
  <si>
    <t>Fins SF 1.5</t>
  </si>
  <si>
    <t>Fins Rounded</t>
  </si>
  <si>
    <t>num of layers</t>
  </si>
  <si>
    <t>Deployment Velocity (ft/s)</t>
  </si>
  <si>
    <t>Fins 15 Layers</t>
  </si>
  <si>
    <t>&lt;-- 2x U-Bolt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</si>
</sst>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0.000000"/>
  </numFmts>
  <fonts count="40" x14ac:knownFonts="1">
    <font>
      <sz val="11"/>
      <color theme="1"/>
      <name val="Calibri"/>
      <family val="2"/>
      <scheme val="minor"/>
    </font>
    <font>
      <b/>
      <u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rgb="FF000000"/>
      <name val="Calibri"/>
      <family val="2"/>
    </font>
    <font>
      <sz val="10"/>
      <color theme="1"/>
      <name val="Calibri"/>
      <family val="2"/>
      <scheme val="minor"/>
    </font>
    <font>
      <i/>
      <sz val="12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444444"/>
      <name val="Calibri"/>
      <family val="2"/>
      <charset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sz val="35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color rgb="FF000000"/>
      <name val="Calibri"/>
      <family val="2"/>
      <scheme val="minor"/>
    </font>
    <font>
      <b/>
      <strike/>
      <sz val="11"/>
      <color rgb="FFFA7D00"/>
      <name val="Calibri"/>
      <family val="2"/>
      <scheme val="minor"/>
    </font>
    <font>
      <sz val="2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000000"/>
      <name val="Calibri"/>
      <family val="2"/>
    </font>
    <font>
      <sz val="28"/>
      <color theme="1"/>
      <name val="Calibri"/>
      <family val="2"/>
      <scheme val="minor"/>
    </font>
    <font>
      <sz val="36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00000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BD92DE"/>
        <bgColor indexed="64"/>
      </patternFill>
    </fill>
  </fills>
  <borders count="4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</borders>
  <cellStyleXfs count="16">
    <xf numFmtId="0" fontId="0" fillId="0" borderId="0"/>
    <xf numFmtId="0" fontId="4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9" fillId="7" borderId="10" applyNumberFormat="0" applyAlignment="0" applyProtection="0"/>
    <xf numFmtId="0" fontId="10" fillId="8" borderId="10" applyNumberFormat="0" applyAlignment="0" applyProtection="0"/>
    <xf numFmtId="0" fontId="11" fillId="0" borderId="11" applyNumberFormat="0" applyFill="0" applyAlignment="0" applyProtection="0"/>
    <xf numFmtId="0" fontId="16" fillId="0" borderId="15" applyNumberFormat="0" applyFill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25" fillId="16" borderId="0" applyNumberFormat="0" applyBorder="0" applyAlignment="0" applyProtection="0"/>
    <xf numFmtId="0" fontId="26" fillId="17" borderId="0" applyNumberFormat="0" applyBorder="0" applyAlignment="0" applyProtection="0"/>
    <xf numFmtId="0" fontId="27" fillId="0" borderId="20" applyNumberFormat="0" applyFill="0" applyAlignment="0" applyProtection="0"/>
    <xf numFmtId="44" fontId="7" fillId="0" borderId="0" applyFont="0" applyFill="0" applyBorder="0" applyAlignment="0" applyProtection="0"/>
  </cellStyleXfs>
  <cellXfs count="242">
    <xf numFmtId="0" fontId="0" fillId="0" borderId="0" xfId="0"/>
    <xf numFmtId="0" fontId="0" fillId="0" borderId="0" xfId="0" applyAlignment="1">
      <alignment horizontal="center"/>
    </xf>
    <xf numFmtId="0" fontId="4" fillId="0" borderId="0" xfId="1"/>
    <xf numFmtId="0" fontId="0" fillId="3" borderId="0" xfId="0" applyFill="1"/>
    <xf numFmtId="0" fontId="0" fillId="2" borderId="0" xfId="0" applyFill="1"/>
    <xf numFmtId="0" fontId="0" fillId="4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6" xfId="0" applyFill="1" applyBorder="1"/>
    <xf numFmtId="0" fontId="0" fillId="0" borderId="6" xfId="0" applyBorder="1"/>
    <xf numFmtId="0" fontId="0" fillId="0" borderId="4" xfId="0" applyBorder="1" applyAlignment="1">
      <alignment wrapText="1"/>
    </xf>
    <xf numFmtId="0" fontId="0" fillId="0" borderId="7" xfId="0" applyBorder="1"/>
    <xf numFmtId="0" fontId="0" fillId="0" borderId="8" xfId="0" applyBorder="1"/>
    <xf numFmtId="0" fontId="0" fillId="2" borderId="9" xfId="0" applyFill="1" applyBorder="1"/>
    <xf numFmtId="0" fontId="6" fillId="0" borderId="4" xfId="0" applyFont="1" applyBorder="1" applyAlignment="1">
      <alignment wrapText="1"/>
    </xf>
    <xf numFmtId="0" fontId="6" fillId="0" borderId="5" xfId="0" applyFont="1" applyBorder="1"/>
    <xf numFmtId="0" fontId="6" fillId="0" borderId="7" xfId="0" applyFont="1" applyBorder="1"/>
    <xf numFmtId="0" fontId="6" fillId="0" borderId="8" xfId="0" applyFont="1" applyBorder="1"/>
    <xf numFmtId="2" fontId="6" fillId="0" borderId="6" xfId="0" applyNumberFormat="1" applyFont="1" applyBorder="1"/>
    <xf numFmtId="0" fontId="0" fillId="0" borderId="0" xfId="0" applyAlignment="1">
      <alignment horizontal="center" vertical="center"/>
    </xf>
    <xf numFmtId="0" fontId="7" fillId="6" borderId="5" xfId="2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9" borderId="5" xfId="5" applyFill="1" applyBorder="1" applyAlignment="1">
      <alignment horizontal="center" vertical="center" wrapText="1"/>
    </xf>
    <xf numFmtId="0" fontId="11" fillId="0" borderId="5" xfId="5" applyBorder="1" applyAlignment="1">
      <alignment horizontal="center" vertical="center" wrapText="1"/>
    </xf>
    <xf numFmtId="0" fontId="10" fillId="8" borderId="10" xfId="4" applyAlignment="1">
      <alignment horizontal="center" vertical="center" wrapText="1"/>
    </xf>
    <xf numFmtId="0" fontId="0" fillId="6" borderId="5" xfId="2" applyFont="1" applyBorder="1" applyAlignment="1">
      <alignment horizontal="center" vertical="center" wrapText="1"/>
    </xf>
    <xf numFmtId="0" fontId="11" fillId="0" borderId="5" xfId="5" applyBorder="1" applyAlignment="1">
      <alignment horizontal="center" vertical="center"/>
    </xf>
    <xf numFmtId="0" fontId="7" fillId="6" borderId="6" xfId="2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9" fillId="7" borderId="5" xfId="3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8" borderId="5" xfId="4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10" fillId="8" borderId="14" xfId="4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2" fontId="10" fillId="8" borderId="5" xfId="4" applyNumberFormat="1" applyBorder="1" applyAlignment="1">
      <alignment horizontal="center" vertical="center" wrapText="1"/>
    </xf>
    <xf numFmtId="2" fontId="10" fillId="8" borderId="10" xfId="4" applyNumberFormat="1" applyAlignment="1">
      <alignment horizontal="center" vertical="center" wrapText="1"/>
    </xf>
    <xf numFmtId="0" fontId="18" fillId="11" borderId="0" xfId="8" applyAlignment="1">
      <alignment vertical="center"/>
    </xf>
    <xf numFmtId="0" fontId="18" fillId="11" borderId="0" xfId="8" applyAlignment="1">
      <alignment vertical="center" wrapText="1"/>
    </xf>
    <xf numFmtId="0" fontId="18" fillId="11" borderId="0" xfId="8"/>
    <xf numFmtId="0" fontId="18" fillId="13" borderId="0" xfId="10"/>
    <xf numFmtId="0" fontId="18" fillId="13" borderId="16" xfId="10" applyBorder="1"/>
    <xf numFmtId="0" fontId="18" fillId="14" borderId="0" xfId="11"/>
    <xf numFmtId="0" fontId="18" fillId="12" borderId="0" xfId="9"/>
    <xf numFmtId="0" fontId="19" fillId="0" borderId="0" xfId="0" applyFont="1"/>
    <xf numFmtId="16" fontId="0" fillId="0" borderId="0" xfId="0" applyNumberFormat="1"/>
    <xf numFmtId="0" fontId="17" fillId="10" borderId="0" xfId="7"/>
    <xf numFmtId="0" fontId="16" fillId="0" borderId="15" xfId="6" applyFill="1"/>
    <xf numFmtId="0" fontId="21" fillId="6" borderId="5" xfId="2" applyFont="1" applyBorder="1" applyAlignment="1">
      <alignment vertical="center" wrapText="1"/>
    </xf>
    <xf numFmtId="0" fontId="20" fillId="6" borderId="5" xfId="2" applyFont="1" applyBorder="1" applyAlignment="1">
      <alignment horizontal="center" vertical="center" wrapText="1"/>
    </xf>
    <xf numFmtId="0" fontId="6" fillId="6" borderId="5" xfId="2" applyFont="1" applyBorder="1" applyAlignment="1">
      <alignment horizontal="center" vertical="center" wrapText="1"/>
    </xf>
    <xf numFmtId="0" fontId="20" fillId="6" borderId="5" xfId="2" applyFont="1" applyBorder="1" applyAlignment="1">
      <alignment vertical="center" wrapText="1"/>
    </xf>
    <xf numFmtId="0" fontId="0" fillId="9" borderId="5" xfId="2" applyFont="1" applyFill="1" applyBorder="1" applyAlignment="1">
      <alignment horizontal="center" vertical="center" wrapText="1"/>
    </xf>
    <xf numFmtId="0" fontId="0" fillId="15" borderId="5" xfId="5" applyFont="1" applyFill="1" applyBorder="1" applyAlignment="1">
      <alignment horizontal="center" vertical="center" wrapText="1"/>
    </xf>
    <xf numFmtId="0" fontId="0" fillId="9" borderId="5" xfId="5" applyFont="1" applyFill="1" applyBorder="1" applyAlignment="1">
      <alignment horizontal="center" vertical="center" wrapText="1"/>
    </xf>
    <xf numFmtId="164" fontId="10" fillId="8" borderId="10" xfId="4" applyNumberFormat="1" applyAlignment="1">
      <alignment horizontal="center" vertical="center" wrapText="1"/>
    </xf>
    <xf numFmtId="164" fontId="9" fillId="7" borderId="5" xfId="3" applyNumberFormat="1" applyBorder="1" applyAlignment="1">
      <alignment horizontal="center" vertical="center" wrapText="1"/>
    </xf>
    <xf numFmtId="2" fontId="0" fillId="0" borderId="0" xfId="0" applyNumberFormat="1"/>
    <xf numFmtId="0" fontId="7" fillId="6" borderId="18" xfId="2" applyBorder="1" applyAlignment="1">
      <alignment vertical="center" wrapText="1"/>
    </xf>
    <xf numFmtId="0" fontId="10" fillId="8" borderId="19" xfId="4" applyBorder="1" applyAlignment="1">
      <alignment vertical="center" wrapText="1"/>
    </xf>
    <xf numFmtId="0" fontId="7" fillId="6" borderId="6" xfId="2" applyBorder="1" applyAlignment="1">
      <alignment vertical="center" wrapText="1"/>
    </xf>
    <xf numFmtId="0" fontId="7" fillId="6" borderId="5" xfId="2" applyBorder="1" applyAlignment="1">
      <alignment horizontal="center" vertical="center"/>
    </xf>
    <xf numFmtId="0" fontId="6" fillId="2" borderId="21" xfId="0" applyFont="1" applyFill="1" applyBorder="1" applyAlignment="1">
      <alignment vertical="center"/>
    </xf>
    <xf numFmtId="0" fontId="6" fillId="2" borderId="22" xfId="0" applyFont="1" applyFill="1" applyBorder="1" applyAlignment="1">
      <alignment vertical="center"/>
    </xf>
    <xf numFmtId="0" fontId="6" fillId="2" borderId="23" xfId="0" applyFont="1" applyFill="1" applyBorder="1" applyAlignment="1">
      <alignment horizontal="center" vertical="center"/>
    </xf>
    <xf numFmtId="0" fontId="25" fillId="16" borderId="0" xfId="12"/>
    <xf numFmtId="0" fontId="26" fillId="17" borderId="0" xfId="13"/>
    <xf numFmtId="0" fontId="9" fillId="7" borderId="10" xfId="3"/>
    <xf numFmtId="0" fontId="27" fillId="0" borderId="20" xfId="14"/>
    <xf numFmtId="0" fontId="9" fillId="7" borderId="6" xfId="3" applyBorder="1" applyAlignment="1">
      <alignment horizontal="center" vertical="center" wrapText="1"/>
    </xf>
    <xf numFmtId="0" fontId="6" fillId="6" borderId="8" xfId="2" applyFont="1" applyBorder="1" applyAlignment="1">
      <alignment horizontal="center" vertical="center" wrapText="1"/>
    </xf>
    <xf numFmtId="0" fontId="10" fillId="8" borderId="17" xfId="4" applyBorder="1" applyAlignment="1">
      <alignment horizontal="center" vertical="center" wrapText="1"/>
    </xf>
    <xf numFmtId="0" fontId="9" fillId="7" borderId="24" xfId="3" applyBorder="1" applyAlignment="1">
      <alignment horizontal="center" vertical="center" wrapText="1"/>
    </xf>
    <xf numFmtId="0" fontId="10" fillId="8" borderId="25" xfId="4" applyBorder="1" applyAlignment="1">
      <alignment horizontal="center" vertical="center" wrapText="1"/>
    </xf>
    <xf numFmtId="0" fontId="9" fillId="7" borderId="10" xfId="3" applyAlignment="1">
      <alignment horizontal="center" vertical="center" wrapText="1"/>
    </xf>
    <xf numFmtId="0" fontId="11" fillId="9" borderId="26" xfId="5" applyFill="1" applyBorder="1" applyAlignment="1">
      <alignment horizontal="center" vertical="center" wrapText="1"/>
    </xf>
    <xf numFmtId="0" fontId="7" fillId="6" borderId="2" xfId="2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8" fillId="18" borderId="0" xfId="0" applyFont="1" applyFill="1" applyAlignment="1">
      <alignment horizontal="center" vertical="center"/>
    </xf>
    <xf numFmtId="49" fontId="21" fillId="0" borderId="0" xfId="0" applyNumberFormat="1" applyFont="1"/>
    <xf numFmtId="0" fontId="32" fillId="6" borderId="5" xfId="2" applyFont="1" applyBorder="1" applyAlignment="1">
      <alignment horizontal="center" vertical="center" wrapText="1"/>
    </xf>
    <xf numFmtId="0" fontId="33" fillId="6" borderId="5" xfId="2" applyFont="1" applyBorder="1" applyAlignment="1">
      <alignment horizontal="center" vertical="center" wrapText="1"/>
    </xf>
    <xf numFmtId="2" fontId="34" fillId="8" borderId="10" xfId="4" applyNumberFormat="1" applyFont="1" applyAlignment="1">
      <alignment horizontal="center" vertical="center" wrapText="1"/>
    </xf>
    <xf numFmtId="0" fontId="34" fillId="8" borderId="10" xfId="4" applyFont="1" applyAlignment="1">
      <alignment horizontal="center" vertical="center" wrapText="1"/>
    </xf>
    <xf numFmtId="164" fontId="0" fillId="0" borderId="0" xfId="0" applyNumberFormat="1"/>
    <xf numFmtId="0" fontId="9" fillId="7" borderId="17" xfId="3" applyBorder="1" applyAlignment="1">
      <alignment horizontal="center" vertical="center" wrapText="1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6" fillId="2" borderId="0" xfId="0" applyFont="1" applyFill="1"/>
    <xf numFmtId="0" fontId="6" fillId="6" borderId="32" xfId="2" applyFont="1" applyBorder="1" applyAlignment="1">
      <alignment horizontal="center" vertical="center" wrapText="1"/>
    </xf>
    <xf numFmtId="164" fontId="10" fillId="8" borderId="33" xfId="4" applyNumberFormat="1" applyBorder="1" applyAlignment="1">
      <alignment horizontal="center" vertical="center" wrapText="1"/>
    </xf>
    <xf numFmtId="164" fontId="10" fillId="8" borderId="34" xfId="4" applyNumberFormat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9" fillId="7" borderId="10" xfId="3" applyNumberFormat="1"/>
    <xf numFmtId="0" fontId="4" fillId="0" borderId="0" xfId="1" applyNumberFormat="1"/>
    <xf numFmtId="0" fontId="10" fillId="8" borderId="10" xfId="4" applyNumberFormat="1"/>
    <xf numFmtId="0" fontId="10" fillId="8" borderId="5" xfId="4" applyNumberFormat="1" applyBorder="1" applyAlignment="1">
      <alignment horizontal="center" vertical="center" wrapText="1"/>
    </xf>
    <xf numFmtId="0" fontId="7" fillId="6" borderId="26" xfId="2" applyBorder="1" applyAlignment="1">
      <alignment horizontal="center" vertical="center" wrapText="1"/>
    </xf>
    <xf numFmtId="0" fontId="10" fillId="8" borderId="10" xfId="4"/>
    <xf numFmtId="0" fontId="0" fillId="6" borderId="2" xfId="2" applyFont="1" applyBorder="1" applyAlignment="1">
      <alignment horizontal="center" vertical="center" wrapText="1"/>
    </xf>
    <xf numFmtId="0" fontId="0" fillId="6" borderId="26" xfId="2" applyFont="1" applyBorder="1" applyAlignment="1">
      <alignment horizontal="center" vertical="center" wrapText="1"/>
    </xf>
    <xf numFmtId="0" fontId="0" fillId="19" borderId="0" xfId="0" applyFill="1"/>
    <xf numFmtId="165" fontId="0" fillId="0" borderId="0" xfId="0" applyNumberFormat="1"/>
    <xf numFmtId="11" fontId="0" fillId="0" borderId="0" xfId="0" applyNumberFormat="1"/>
    <xf numFmtId="0" fontId="0" fillId="0" borderId="17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16" fontId="37" fillId="0" borderId="0" xfId="0" applyNumberFormat="1" applyFont="1"/>
    <xf numFmtId="0" fontId="8" fillId="0" borderId="0" xfId="0" applyFont="1"/>
    <xf numFmtId="2" fontId="6" fillId="0" borderId="9" xfId="0" applyNumberFormat="1" applyFont="1" applyBorder="1"/>
    <xf numFmtId="2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 vertical="center" wrapText="1"/>
    </xf>
    <xf numFmtId="0" fontId="9" fillId="7" borderId="0" xfId="3" applyBorder="1"/>
    <xf numFmtId="11" fontId="10" fillId="8" borderId="10" xfId="4" applyNumberFormat="1" applyAlignment="1">
      <alignment horizontal="center" vertical="center" wrapText="1"/>
    </xf>
    <xf numFmtId="0" fontId="7" fillId="6" borderId="2" xfId="2" applyBorder="1" applyAlignment="1">
      <alignment horizontal="left" vertical="center"/>
    </xf>
    <xf numFmtId="0" fontId="7" fillId="6" borderId="1" xfId="2" applyBorder="1" applyAlignment="1">
      <alignment horizontal="center" vertical="center" wrapText="1"/>
    </xf>
    <xf numFmtId="0" fontId="7" fillId="6" borderId="3" xfId="2" applyBorder="1" applyAlignment="1">
      <alignment horizontal="center" vertical="center" wrapText="1"/>
    </xf>
    <xf numFmtId="0" fontId="11" fillId="9" borderId="7" xfId="5" applyFill="1" applyBorder="1" applyAlignment="1">
      <alignment horizontal="center" vertical="center" wrapText="1"/>
    </xf>
    <xf numFmtId="0" fontId="11" fillId="9" borderId="8" xfId="5" applyFill="1" applyBorder="1" applyAlignment="1">
      <alignment horizontal="center" vertical="center" wrapText="1"/>
    </xf>
    <xf numFmtId="0" fontId="11" fillId="9" borderId="9" xfId="5" applyFill="1" applyBorder="1" applyAlignment="1">
      <alignment horizontal="center" vertical="center" wrapText="1"/>
    </xf>
    <xf numFmtId="0" fontId="7" fillId="6" borderId="1" xfId="2" applyBorder="1" applyAlignment="1">
      <alignment horizontal="left" vertical="center"/>
    </xf>
    <xf numFmtId="0" fontId="7" fillId="6" borderId="3" xfId="2" applyBorder="1" applyAlignment="1">
      <alignment horizontal="left" vertical="center"/>
    </xf>
    <xf numFmtId="0" fontId="9" fillId="7" borderId="7" xfId="3" applyBorder="1"/>
    <xf numFmtId="0" fontId="9" fillId="7" borderId="8" xfId="3" applyBorder="1"/>
    <xf numFmtId="0" fontId="9" fillId="7" borderId="9" xfId="3" applyBorder="1"/>
    <xf numFmtId="0" fontId="0" fillId="20" borderId="5" xfId="0" applyFill="1" applyBorder="1"/>
    <xf numFmtId="44" fontId="0" fillId="0" borderId="0" xfId="15" applyFont="1" applyAlignment="1">
      <alignment horizontal="center" vertical="center" wrapText="1"/>
    </xf>
    <xf numFmtId="0" fontId="0" fillId="0" borderId="18" xfId="0" applyBorder="1"/>
    <xf numFmtId="0" fontId="0" fillId="0" borderId="41" xfId="0" applyBorder="1"/>
    <xf numFmtId="0" fontId="8" fillId="0" borderId="31" xfId="0" applyFont="1" applyBorder="1"/>
    <xf numFmtId="0" fontId="7" fillId="6" borderId="0" xfId="2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7" fillId="6" borderId="5" xfId="2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9" fillId="7" borderId="2" xfId="3" applyBorder="1" applyAlignment="1">
      <alignment horizontal="center" vertical="center"/>
    </xf>
    <xf numFmtId="0" fontId="11" fillId="0" borderId="5" xfId="5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7" fillId="6" borderId="6" xfId="2" applyBorder="1" applyAlignment="1">
      <alignment horizontal="center" vertical="center" wrapText="1"/>
    </xf>
    <xf numFmtId="0" fontId="7" fillId="6" borderId="4" xfId="2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9" fillId="0" borderId="9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41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1" fillId="0" borderId="21" xfId="0" applyFont="1" applyBorder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0" fillId="0" borderId="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30" fillId="0" borderId="9" xfId="0" applyFont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24" fillId="0" borderId="9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/>
    </xf>
    <xf numFmtId="0" fontId="30" fillId="0" borderId="9" xfId="0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18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41" xfId="0" applyFont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30" fillId="0" borderId="13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35" fillId="0" borderId="0" xfId="0" applyFont="1" applyAlignment="1">
      <alignment horizontal="center"/>
    </xf>
    <xf numFmtId="0" fontId="5" fillId="5" borderId="0" xfId="0" applyFont="1" applyFill="1" applyAlignment="1">
      <alignment horizontal="center"/>
    </xf>
  </cellXfs>
  <cellStyles count="16">
    <cellStyle name="40% - Accent3" xfId="2" builtinId="39"/>
    <cellStyle name="Accent1" xfId="8" builtinId="29"/>
    <cellStyle name="Accent2" xfId="9" builtinId="33"/>
    <cellStyle name="Accent3" xfId="10" builtinId="37"/>
    <cellStyle name="Accent6" xfId="11" builtinId="49"/>
    <cellStyle name="Bad" xfId="7" builtinId="27"/>
    <cellStyle name="Calculation" xfId="4" builtinId="22"/>
    <cellStyle name="Currency" xfId="15" builtinId="4"/>
    <cellStyle name="Good" xfId="12" builtinId="26"/>
    <cellStyle name="Heading 1" xfId="14" builtinId="16"/>
    <cellStyle name="Heading 3" xfId="6" builtinId="18"/>
    <cellStyle name="Hyperlink" xfId="1" builtinId="8"/>
    <cellStyle name="Input" xfId="3" builtinId="20"/>
    <cellStyle name="Linked Cell" xfId="5" builtinId="24"/>
    <cellStyle name="Neutral" xfId="13" builtinId="28"/>
    <cellStyle name="Normal" xfId="0" builtinId="0"/>
  </cellStyles>
  <dxfs count="260"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2A2A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numFmt numFmtId="0" formatCode="General"/>
    </dxf>
    <dxf>
      <numFmt numFmtId="0" formatCode="General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FF0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rgb="FF7F7F7F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3F3F76"/>
      </font>
      <fill>
        <patternFill patternType="solid">
          <fgColor indexed="64"/>
          <bgColor rgb="FFFFCC99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color rgb="FF3F3F76"/>
      </font>
      <fill>
        <patternFill patternType="solid">
          <fgColor indexed="64"/>
          <bgColor rgb="FFFFCC99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color rgb="FF3F3F76"/>
      </font>
      <fill>
        <patternFill patternType="solid">
          <fgColor indexed="64"/>
          <bgColor rgb="FFFFCC99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3F3F76"/>
      </font>
      <fill>
        <patternFill patternType="solid">
          <fgColor indexed="64"/>
          <bgColor rgb="FFFFCC99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3F3F76"/>
      </font>
      <fill>
        <patternFill patternType="solid">
          <fgColor indexed="64"/>
          <bgColor rgb="FFFFCC99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3F3F76"/>
      </font>
      <fill>
        <patternFill patternType="solid">
          <fgColor indexed="64"/>
          <bgColor rgb="FFFFCC99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3F3F76"/>
      </font>
      <fill>
        <patternFill patternType="solid">
          <fgColor indexed="64"/>
          <bgColor rgb="FFFFCC99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3F3F76"/>
      </font>
      <numFmt numFmtId="0" formatCode="General"/>
      <fill>
        <patternFill patternType="solid">
          <fgColor indexed="64"/>
          <bgColor rgb="FFFFCC99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left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  <vertical/>
        <horizontal/>
      </border>
    </dxf>
    <dxf>
      <border diagonalUp="0" diagonalDown="0">
        <left/>
        <right style="thin">
          <color rgb="FF000000"/>
        </right>
        <top style="thin">
          <color rgb="FF000000"/>
        </top>
        <bottom/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000000"/>
          <bgColor rgb="FF000000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  <alignment horizontal="center" vertical="center" textRotation="0" wrapText="1" indent="0" justifyLastLine="0" shrinkToFit="0" readingOrder="0"/>
    </dxf>
    <dxf>
      <numFmt numFmtId="0" formatCode="General"/>
    </dxf>
    <dxf>
      <alignment horizontal="left" vertical="center" textRotation="0" indent="0" justifyLastLine="0" shrinkToFit="0" readingOrder="0"/>
    </dxf>
  </dxfs>
  <tableStyles count="0" defaultTableStyle="TableStyleMedium2" defaultPivotStyle="PivotStyleLight16"/>
  <colors>
    <mruColors>
      <color rgb="FFBD92DE"/>
      <color rgb="FFFF9933"/>
      <color rgb="FFF2A2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Shear Diagram (lbs)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V1 Shear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'Aero Force Calculations'!$X$8:$X$188</c:f>
              <c:numCache>
                <c:formatCode>General</c:formatCode>
                <c:ptCount val="18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xVal>
          <c:yVal>
            <c:numRef>
              <c:f>'Aero Force Calculations'!$Y$8:$Y$188</c:f>
              <c:numCache>
                <c:formatCode>General</c:formatCode>
                <c:ptCount val="181"/>
                <c:pt idx="1">
                  <c:v>54.718906869062401</c:v>
                </c:pt>
                <c:pt idx="2">
                  <c:v>54.849743624489228</c:v>
                </c:pt>
                <c:pt idx="3">
                  <c:v>54.980580379916049</c:v>
                </c:pt>
                <c:pt idx="4">
                  <c:v>55.111417135342876</c:v>
                </c:pt>
                <c:pt idx="5">
                  <c:v>55.242253890769696</c:v>
                </c:pt>
                <c:pt idx="6">
                  <c:v>55.373090646196523</c:v>
                </c:pt>
                <c:pt idx="7">
                  <c:v>55.503927401623343</c:v>
                </c:pt>
                <c:pt idx="8">
                  <c:v>55.634764157050164</c:v>
                </c:pt>
                <c:pt idx="9">
                  <c:v>55.765600912476991</c:v>
                </c:pt>
                <c:pt idx="10">
                  <c:v>55.896437667903811</c:v>
                </c:pt>
                <c:pt idx="11">
                  <c:v>56.027274423330638</c:v>
                </c:pt>
                <c:pt idx="12">
                  <c:v>56.158111178757459</c:v>
                </c:pt>
                <c:pt idx="13">
                  <c:v>56.288947934184279</c:v>
                </c:pt>
                <c:pt idx="14">
                  <c:v>56.419784689611106</c:v>
                </c:pt>
                <c:pt idx="15">
                  <c:v>56.550621445037926</c:v>
                </c:pt>
                <c:pt idx="16">
                  <c:v>56.681458200464753</c:v>
                </c:pt>
                <c:pt idx="17">
                  <c:v>56.812294955891574</c:v>
                </c:pt>
                <c:pt idx="18">
                  <c:v>56.943131711318401</c:v>
                </c:pt>
                <c:pt idx="19">
                  <c:v>57.073968466745221</c:v>
                </c:pt>
                <c:pt idx="20">
                  <c:v>57.204805222172041</c:v>
                </c:pt>
                <c:pt idx="21">
                  <c:v>57.335641977598868</c:v>
                </c:pt>
                <c:pt idx="22">
                  <c:v>57.466478733025689</c:v>
                </c:pt>
                <c:pt idx="23">
                  <c:v>57.597315488452516</c:v>
                </c:pt>
                <c:pt idx="24">
                  <c:v>57.728152243879336</c:v>
                </c:pt>
                <c:pt idx="25">
                  <c:v>57.858988999306163</c:v>
                </c:pt>
                <c:pt idx="26">
                  <c:v>57.989825754732983</c:v>
                </c:pt>
                <c:pt idx="27">
                  <c:v>58.120662510159804</c:v>
                </c:pt>
                <c:pt idx="28">
                  <c:v>58.251499265586631</c:v>
                </c:pt>
                <c:pt idx="29">
                  <c:v>58.382336021013451</c:v>
                </c:pt>
                <c:pt idx="30">
                  <c:v>58.513172776440278</c:v>
                </c:pt>
                <c:pt idx="31">
                  <c:v>58.644009531867098</c:v>
                </c:pt>
                <c:pt idx="32">
                  <c:v>58.774846287293926</c:v>
                </c:pt>
                <c:pt idx="33">
                  <c:v>58.905683042720746</c:v>
                </c:pt>
                <c:pt idx="34">
                  <c:v>59.036519798147566</c:v>
                </c:pt>
                <c:pt idx="35">
                  <c:v>59.167356553574393</c:v>
                </c:pt>
                <c:pt idx="36">
                  <c:v>59.298193309001213</c:v>
                </c:pt>
                <c:pt idx="37">
                  <c:v>59.429030064428041</c:v>
                </c:pt>
                <c:pt idx="38">
                  <c:v>59.559866819854861</c:v>
                </c:pt>
                <c:pt idx="39">
                  <c:v>59.690703575281688</c:v>
                </c:pt>
                <c:pt idx="40">
                  <c:v>59.821540330708508</c:v>
                </c:pt>
                <c:pt idx="41">
                  <c:v>59.952377086135328</c:v>
                </c:pt>
                <c:pt idx="42">
                  <c:v>60.083213841562156</c:v>
                </c:pt>
                <c:pt idx="43">
                  <c:v>60.214050596988976</c:v>
                </c:pt>
                <c:pt idx="44">
                  <c:v>60.344887352415796</c:v>
                </c:pt>
                <c:pt idx="45">
                  <c:v>60.475724107842623</c:v>
                </c:pt>
                <c:pt idx="46">
                  <c:v>60.606560863269443</c:v>
                </c:pt>
                <c:pt idx="47">
                  <c:v>60.737397618696271</c:v>
                </c:pt>
                <c:pt idx="48">
                  <c:v>60.868234374123091</c:v>
                </c:pt>
                <c:pt idx="49">
                  <c:v>60.999071129549918</c:v>
                </c:pt>
                <c:pt idx="50">
                  <c:v>61.129907884976738</c:v>
                </c:pt>
                <c:pt idx="51">
                  <c:v>61.260744640403558</c:v>
                </c:pt>
                <c:pt idx="52">
                  <c:v>61.391581395830386</c:v>
                </c:pt>
                <c:pt idx="53">
                  <c:v>61.522418151257206</c:v>
                </c:pt>
                <c:pt idx="54">
                  <c:v>61.653254906684033</c:v>
                </c:pt>
                <c:pt idx="55">
                  <c:v>61.784091662110853</c:v>
                </c:pt>
                <c:pt idx="56">
                  <c:v>61.914928417537681</c:v>
                </c:pt>
                <c:pt idx="57">
                  <c:v>62.045765172964501</c:v>
                </c:pt>
                <c:pt idx="58">
                  <c:v>62.176601928391321</c:v>
                </c:pt>
                <c:pt idx="59">
                  <c:v>62.307438683818148</c:v>
                </c:pt>
                <c:pt idx="60">
                  <c:v>62.438275439244968</c:v>
                </c:pt>
                <c:pt idx="61">
                  <c:v>62.569112194671796</c:v>
                </c:pt>
                <c:pt idx="62">
                  <c:v>62.699948950098616</c:v>
                </c:pt>
                <c:pt idx="63">
                  <c:v>62.830785705525443</c:v>
                </c:pt>
                <c:pt idx="64">
                  <c:v>62.961622460952263</c:v>
                </c:pt>
                <c:pt idx="65">
                  <c:v>63.092459216379083</c:v>
                </c:pt>
                <c:pt idx="66">
                  <c:v>63.223295971805911</c:v>
                </c:pt>
                <c:pt idx="67">
                  <c:v>63.354132727232731</c:v>
                </c:pt>
                <c:pt idx="68">
                  <c:v>63.484969482659558</c:v>
                </c:pt>
                <c:pt idx="69">
                  <c:v>63.615806238086378</c:v>
                </c:pt>
                <c:pt idx="70">
                  <c:v>63.746642993513206</c:v>
                </c:pt>
                <c:pt idx="71">
                  <c:v>63.877479748940026</c:v>
                </c:pt>
                <c:pt idx="72">
                  <c:v>64.008316504366846</c:v>
                </c:pt>
                <c:pt idx="73">
                  <c:v>64.139153259793673</c:v>
                </c:pt>
                <c:pt idx="74">
                  <c:v>64.2699900152205</c:v>
                </c:pt>
                <c:pt idx="75">
                  <c:v>64.400826770647313</c:v>
                </c:pt>
                <c:pt idx="76">
                  <c:v>64.531663526074141</c:v>
                </c:pt>
                <c:pt idx="77">
                  <c:v>64.662500281500968</c:v>
                </c:pt>
                <c:pt idx="78">
                  <c:v>64.793337036927795</c:v>
                </c:pt>
                <c:pt idx="79">
                  <c:v>64.924173792354608</c:v>
                </c:pt>
                <c:pt idx="80">
                  <c:v>65.055010547781436</c:v>
                </c:pt>
                <c:pt idx="81">
                  <c:v>65.185847303208263</c:v>
                </c:pt>
                <c:pt idx="82">
                  <c:v>65.316684058635076</c:v>
                </c:pt>
                <c:pt idx="83">
                  <c:v>65.447520814061903</c:v>
                </c:pt>
                <c:pt idx="84">
                  <c:v>65.57835756948873</c:v>
                </c:pt>
                <c:pt idx="85">
                  <c:v>65.709194324915543</c:v>
                </c:pt>
                <c:pt idx="86">
                  <c:v>65.840031080342371</c:v>
                </c:pt>
                <c:pt idx="87">
                  <c:v>65.970867835769198</c:v>
                </c:pt>
                <c:pt idx="88">
                  <c:v>66.101704591196011</c:v>
                </c:pt>
                <c:pt idx="89">
                  <c:v>66.232541346622838</c:v>
                </c:pt>
                <c:pt idx="90">
                  <c:v>66.363378102049666</c:v>
                </c:pt>
                <c:pt idx="91">
                  <c:v>66.494214857476493</c:v>
                </c:pt>
                <c:pt idx="92">
                  <c:v>66.625051612903306</c:v>
                </c:pt>
                <c:pt idx="93">
                  <c:v>66.755888368330133</c:v>
                </c:pt>
                <c:pt idx="94">
                  <c:v>66.88672512375696</c:v>
                </c:pt>
                <c:pt idx="95">
                  <c:v>67.017561879183773</c:v>
                </c:pt>
                <c:pt idx="96">
                  <c:v>67.148398634610601</c:v>
                </c:pt>
                <c:pt idx="97">
                  <c:v>67.279235390037428</c:v>
                </c:pt>
                <c:pt idx="98">
                  <c:v>67.410072145464255</c:v>
                </c:pt>
                <c:pt idx="99">
                  <c:v>67.540908900891068</c:v>
                </c:pt>
                <c:pt idx="100">
                  <c:v>67.671745656317896</c:v>
                </c:pt>
                <c:pt idx="101">
                  <c:v>67.802582411744723</c:v>
                </c:pt>
                <c:pt idx="102">
                  <c:v>67.933419167171536</c:v>
                </c:pt>
                <c:pt idx="103">
                  <c:v>68.064255922598363</c:v>
                </c:pt>
                <c:pt idx="104">
                  <c:v>68.19509267802519</c:v>
                </c:pt>
                <c:pt idx="105">
                  <c:v>68.325929433452018</c:v>
                </c:pt>
                <c:pt idx="106">
                  <c:v>68.456766188878831</c:v>
                </c:pt>
                <c:pt idx="107">
                  <c:v>68.587602944305658</c:v>
                </c:pt>
                <c:pt idx="108">
                  <c:v>68.718439699732485</c:v>
                </c:pt>
                <c:pt idx="109">
                  <c:v>68.849276455159298</c:v>
                </c:pt>
                <c:pt idx="110">
                  <c:v>68.980113210586126</c:v>
                </c:pt>
                <c:pt idx="111">
                  <c:v>69.110949966012953</c:v>
                </c:pt>
                <c:pt idx="112">
                  <c:v>69.24178672143978</c:v>
                </c:pt>
                <c:pt idx="113">
                  <c:v>69.372623476866593</c:v>
                </c:pt>
                <c:pt idx="114">
                  <c:v>69.503460232293421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38-4BC6-94DA-1ADF484E85A3}"/>
            </c:ext>
          </c:extLst>
        </c:ser>
        <c:ser>
          <c:idx val="0"/>
          <c:order val="1"/>
          <c:tx>
            <c:v>V2 Shear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'Aero Force Calculations'!$Z$8:$Z$188</c:f>
              <c:numCache>
                <c:formatCode>General</c:formatCode>
                <c:ptCount val="181"/>
                <c:pt idx="0">
                  <c:v>115</c:v>
                </c:pt>
                <c:pt idx="1">
                  <c:v>116</c:v>
                </c:pt>
                <c:pt idx="2">
                  <c:v>117</c:v>
                </c:pt>
                <c:pt idx="3">
                  <c:v>118</c:v>
                </c:pt>
                <c:pt idx="4">
                  <c:v>119</c:v>
                </c:pt>
                <c:pt idx="5">
                  <c:v>120</c:v>
                </c:pt>
                <c:pt idx="6">
                  <c:v>121</c:v>
                </c:pt>
                <c:pt idx="7">
                  <c:v>122</c:v>
                </c:pt>
                <c:pt idx="8">
                  <c:v>123</c:v>
                </c:pt>
                <c:pt idx="9">
                  <c:v>124</c:v>
                </c:pt>
                <c:pt idx="10">
                  <c:v>125</c:v>
                </c:pt>
                <c:pt idx="11">
                  <c:v>126</c:v>
                </c:pt>
                <c:pt idx="12">
                  <c:v>127</c:v>
                </c:pt>
                <c:pt idx="13">
                  <c:v>128</c:v>
                </c:pt>
                <c:pt idx="14">
                  <c:v>129</c:v>
                </c:pt>
                <c:pt idx="15">
                  <c:v>130</c:v>
                </c:pt>
                <c:pt idx="16">
                  <c:v>131</c:v>
                </c:pt>
                <c:pt idx="17">
                  <c:v>132</c:v>
                </c:pt>
                <c:pt idx="18">
                  <c:v>133</c:v>
                </c:pt>
                <c:pt idx="19">
                  <c:v>134</c:v>
                </c:pt>
                <c:pt idx="20">
                  <c:v>135</c:v>
                </c:pt>
                <c:pt idx="21">
                  <c:v>136</c:v>
                </c:pt>
                <c:pt idx="22">
                  <c:v>137</c:v>
                </c:pt>
                <c:pt idx="23">
                  <c:v>138</c:v>
                </c:pt>
                <c:pt idx="24">
                  <c:v>139</c:v>
                </c:pt>
                <c:pt idx="25">
                  <c:v>140</c:v>
                </c:pt>
                <c:pt idx="26">
                  <c:v>141</c:v>
                </c:pt>
                <c:pt idx="27">
                  <c:v>142</c:v>
                </c:pt>
                <c:pt idx="28">
                  <c:v>143</c:v>
                </c:pt>
                <c:pt idx="29">
                  <c:v>144</c:v>
                </c:pt>
                <c:pt idx="30">
                  <c:v>145</c:v>
                </c:pt>
                <c:pt idx="31">
                  <c:v>146</c:v>
                </c:pt>
                <c:pt idx="32">
                  <c:v>147</c:v>
                </c:pt>
                <c:pt idx="33">
                  <c:v>148</c:v>
                </c:pt>
                <c:pt idx="34">
                  <c:v>149</c:v>
                </c:pt>
                <c:pt idx="35">
                  <c:v>150</c:v>
                </c:pt>
                <c:pt idx="36">
                  <c:v>151</c:v>
                </c:pt>
                <c:pt idx="37">
                  <c:v>152</c:v>
                </c:pt>
                <c:pt idx="38">
                  <c:v>153</c:v>
                </c:pt>
                <c:pt idx="39">
                  <c:v>154</c:v>
                </c:pt>
                <c:pt idx="40">
                  <c:v>155</c:v>
                </c:pt>
                <c:pt idx="41">
                  <c:v>156</c:v>
                </c:pt>
                <c:pt idx="42">
                  <c:v>157</c:v>
                </c:pt>
                <c:pt idx="43">
                  <c:v>158</c:v>
                </c:pt>
                <c:pt idx="44">
                  <c:v>159</c:v>
                </c:pt>
                <c:pt idx="45">
                  <c:v>160</c:v>
                </c:pt>
                <c:pt idx="46">
                  <c:v>161</c:v>
                </c:pt>
                <c:pt idx="47">
                  <c:v>162</c:v>
                </c:pt>
                <c:pt idx="48">
                  <c:v>163</c:v>
                </c:pt>
                <c:pt idx="49">
                  <c:v>164</c:v>
                </c:pt>
                <c:pt idx="50">
                  <c:v>165</c:v>
                </c:pt>
                <c:pt idx="51">
                  <c:v>166</c:v>
                </c:pt>
                <c:pt idx="52">
                  <c:v>167</c:v>
                </c:pt>
                <c:pt idx="53">
                  <c:v>168</c:v>
                </c:pt>
                <c:pt idx="54">
                  <c:v>169</c:v>
                </c:pt>
                <c:pt idx="55">
                  <c:v>170</c:v>
                </c:pt>
                <c:pt idx="56">
                  <c:v>171</c:v>
                </c:pt>
                <c:pt idx="57">
                  <c:v>172</c:v>
                </c:pt>
                <c:pt idx="58">
                  <c:v>173</c:v>
                </c:pt>
                <c:pt idx="59">
                  <c:v>174</c:v>
                </c:pt>
                <c:pt idx="60">
                  <c:v>175</c:v>
                </c:pt>
                <c:pt idx="61">
                  <c:v>176</c:v>
                </c:pt>
                <c:pt idx="62">
                  <c:v>177</c:v>
                </c:pt>
                <c:pt idx="63">
                  <c:v>178</c:v>
                </c:pt>
                <c:pt idx="64">
                  <c:v>179</c:v>
                </c:pt>
                <c:pt idx="65">
                  <c:v>180</c:v>
                </c:pt>
                <c:pt idx="66">
                  <c:v>181</c:v>
                </c:pt>
                <c:pt idx="67">
                  <c:v>182</c:v>
                </c:pt>
                <c:pt idx="68">
                  <c:v>183</c:v>
                </c:pt>
                <c:pt idx="69">
                  <c:v>184</c:v>
                </c:pt>
                <c:pt idx="70">
                  <c:v>185</c:v>
                </c:pt>
                <c:pt idx="71">
                  <c:v>186</c:v>
                </c:pt>
                <c:pt idx="72">
                  <c:v>187</c:v>
                </c:pt>
                <c:pt idx="73">
                  <c:v>188</c:v>
                </c:pt>
                <c:pt idx="74">
                  <c:v>189</c:v>
                </c:pt>
                <c:pt idx="75">
                  <c:v>190</c:v>
                </c:pt>
                <c:pt idx="76">
                  <c:v>191</c:v>
                </c:pt>
                <c:pt idx="77">
                  <c:v>192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xVal>
          <c:yVal>
            <c:numRef>
              <c:f>'Aero Force Calculations'!$AA$8:$AA$188</c:f>
              <c:numCache>
                <c:formatCode>General</c:formatCode>
                <c:ptCount val="181"/>
                <c:pt idx="0">
                  <c:v>69.904233554735342</c:v>
                </c:pt>
                <c:pt idx="1">
                  <c:v>65.681254713144213</c:v>
                </c:pt>
                <c:pt idx="2">
                  <c:v>61.458275871553077</c:v>
                </c:pt>
                <c:pt idx="3">
                  <c:v>57.235297029961941</c:v>
                </c:pt>
                <c:pt idx="4">
                  <c:v>53.012318188370806</c:v>
                </c:pt>
                <c:pt idx="5">
                  <c:v>48.78933934677967</c:v>
                </c:pt>
                <c:pt idx="6">
                  <c:v>44.566360505188534</c:v>
                </c:pt>
                <c:pt idx="7">
                  <c:v>40.343381663597398</c:v>
                </c:pt>
                <c:pt idx="8">
                  <c:v>36.120402822006263</c:v>
                </c:pt>
                <c:pt idx="9">
                  <c:v>31.897423980415127</c:v>
                </c:pt>
                <c:pt idx="10">
                  <c:v>27.674445138823991</c:v>
                </c:pt>
                <c:pt idx="11">
                  <c:v>23.451466297232855</c:v>
                </c:pt>
                <c:pt idx="12">
                  <c:v>19.228487455641719</c:v>
                </c:pt>
                <c:pt idx="13">
                  <c:v>15.005508614050584</c:v>
                </c:pt>
                <c:pt idx="14">
                  <c:v>10.782529772459448</c:v>
                </c:pt>
                <c:pt idx="15">
                  <c:v>6.559550930868312</c:v>
                </c:pt>
                <c:pt idx="16">
                  <c:v>2.3365720892771691</c:v>
                </c:pt>
                <c:pt idx="17">
                  <c:v>-1.8864067523139596</c:v>
                </c:pt>
                <c:pt idx="18">
                  <c:v>-6.1093855939051025</c:v>
                </c:pt>
                <c:pt idx="19">
                  <c:v>-10.332364435496231</c:v>
                </c:pt>
                <c:pt idx="20">
                  <c:v>-14.555343277087374</c:v>
                </c:pt>
                <c:pt idx="21">
                  <c:v>-18.778322118678503</c:v>
                </c:pt>
                <c:pt idx="22">
                  <c:v>-23.001300960269646</c:v>
                </c:pt>
                <c:pt idx="23">
                  <c:v>-27.224279801860774</c:v>
                </c:pt>
                <c:pt idx="24">
                  <c:v>-31.447258643451917</c:v>
                </c:pt>
                <c:pt idx="25">
                  <c:v>-35.670237485043046</c:v>
                </c:pt>
                <c:pt idx="26">
                  <c:v>-39.893216326634189</c:v>
                </c:pt>
                <c:pt idx="27">
                  <c:v>-44.116195168225318</c:v>
                </c:pt>
                <c:pt idx="28">
                  <c:v>-48.33917400981646</c:v>
                </c:pt>
                <c:pt idx="29">
                  <c:v>-52.562152851407589</c:v>
                </c:pt>
                <c:pt idx="30">
                  <c:v>-56.785131692998732</c:v>
                </c:pt>
                <c:pt idx="31">
                  <c:v>-61.008110534589861</c:v>
                </c:pt>
                <c:pt idx="32">
                  <c:v>-65.231089376180989</c:v>
                </c:pt>
                <c:pt idx="33">
                  <c:v>-69.454068217772146</c:v>
                </c:pt>
                <c:pt idx="34">
                  <c:v>-73.677047059363275</c:v>
                </c:pt>
                <c:pt idx="35">
                  <c:v>-77.900025900954404</c:v>
                </c:pt>
                <c:pt idx="36">
                  <c:v>-82.123004742545533</c:v>
                </c:pt>
                <c:pt idx="37">
                  <c:v>-86.34598358413669</c:v>
                </c:pt>
                <c:pt idx="38">
                  <c:v>-90.568962425727818</c:v>
                </c:pt>
                <c:pt idx="39">
                  <c:v>-94.791941267318947</c:v>
                </c:pt>
                <c:pt idx="40">
                  <c:v>-99.014920108910076</c:v>
                </c:pt>
                <c:pt idx="41">
                  <c:v>-103.23789895050123</c:v>
                </c:pt>
                <c:pt idx="42">
                  <c:v>-107.46087779209236</c:v>
                </c:pt>
                <c:pt idx="43">
                  <c:v>-111.68385663368349</c:v>
                </c:pt>
                <c:pt idx="44">
                  <c:v>-115.90683547527462</c:v>
                </c:pt>
                <c:pt idx="45">
                  <c:v>-120.12981431686578</c:v>
                </c:pt>
                <c:pt idx="46">
                  <c:v>-124.3527931584569</c:v>
                </c:pt>
                <c:pt idx="47">
                  <c:v>-128.57577200004803</c:v>
                </c:pt>
                <c:pt idx="48">
                  <c:v>-132.79875084163916</c:v>
                </c:pt>
                <c:pt idx="49">
                  <c:v>-137.02172968323032</c:v>
                </c:pt>
                <c:pt idx="50">
                  <c:v>-141.24470852482145</c:v>
                </c:pt>
                <c:pt idx="51">
                  <c:v>-145.46768736641258</c:v>
                </c:pt>
                <c:pt idx="52">
                  <c:v>-149.69066620800371</c:v>
                </c:pt>
                <c:pt idx="53">
                  <c:v>-153.91364504959486</c:v>
                </c:pt>
                <c:pt idx="54">
                  <c:v>-158.13662389118599</c:v>
                </c:pt>
                <c:pt idx="55">
                  <c:v>-162.35960273277712</c:v>
                </c:pt>
                <c:pt idx="56">
                  <c:v>-166.58258157436825</c:v>
                </c:pt>
                <c:pt idx="57">
                  <c:v>-170.80556041595941</c:v>
                </c:pt>
                <c:pt idx="58">
                  <c:v>-175.02853925755053</c:v>
                </c:pt>
                <c:pt idx="59">
                  <c:v>-179.25151809914166</c:v>
                </c:pt>
                <c:pt idx="60">
                  <c:v>-183.47449694073279</c:v>
                </c:pt>
                <c:pt idx="61">
                  <c:v>-187.69747578232392</c:v>
                </c:pt>
                <c:pt idx="62">
                  <c:v>-191.92045462391508</c:v>
                </c:pt>
                <c:pt idx="63">
                  <c:v>-196.14343346550623</c:v>
                </c:pt>
                <c:pt idx="64">
                  <c:v>-200.36641230709733</c:v>
                </c:pt>
                <c:pt idx="65">
                  <c:v>-204.58939114868849</c:v>
                </c:pt>
                <c:pt idx="66">
                  <c:v>-208.81236999027959</c:v>
                </c:pt>
                <c:pt idx="67">
                  <c:v>-213.03534883187075</c:v>
                </c:pt>
                <c:pt idx="68">
                  <c:v>-217.25832767346191</c:v>
                </c:pt>
                <c:pt idx="69">
                  <c:v>-221.48130651505301</c:v>
                </c:pt>
                <c:pt idx="70">
                  <c:v>-225.70428535664416</c:v>
                </c:pt>
                <c:pt idx="71">
                  <c:v>-229.92726419823532</c:v>
                </c:pt>
                <c:pt idx="72">
                  <c:v>-234.15024303982642</c:v>
                </c:pt>
                <c:pt idx="73">
                  <c:v>-238.37322188141758</c:v>
                </c:pt>
                <c:pt idx="74">
                  <c:v>-242.59620072300868</c:v>
                </c:pt>
                <c:pt idx="75">
                  <c:v>-246.81917956459984</c:v>
                </c:pt>
                <c:pt idx="76">
                  <c:v>-251.04215840619099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38-4BC6-94DA-1ADF484E8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380576"/>
        <c:axId val="1464679280"/>
      </c:scatterChart>
      <c:valAx>
        <c:axId val="185638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679280"/>
        <c:crosses val="autoZero"/>
        <c:crossBetween val="midCat"/>
      </c:valAx>
      <c:valAx>
        <c:axId val="146467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6380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Moment Diagram (lb</a:t>
            </a:r>
            <a:r>
              <a:rPr lang="en-US" baseline="0"/>
              <a:t> - in)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M1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'Aero Force Calculations'!$AK$8:$AK$188</c:f>
              <c:numCache>
                <c:formatCode>General</c:formatCode>
                <c:ptCount val="18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xVal>
          <c:yVal>
            <c:numRef>
              <c:f>'Aero Force Calculations'!$AL$8:$AL$188</c:f>
              <c:numCache>
                <c:formatCode>General</c:formatCode>
                <c:ptCount val="181"/>
                <c:pt idx="0">
                  <c:v>54.653488491348995</c:v>
                </c:pt>
                <c:pt idx="1">
                  <c:v>109.4378137381248</c:v>
                </c:pt>
                <c:pt idx="2">
                  <c:v>164.35297574032745</c:v>
                </c:pt>
                <c:pt idx="3">
                  <c:v>219.39897449795691</c:v>
                </c:pt>
                <c:pt idx="4">
                  <c:v>274.57581001101317</c:v>
                </c:pt>
                <c:pt idx="5">
                  <c:v>329.88348227949632</c:v>
                </c:pt>
                <c:pt idx="6">
                  <c:v>385.32199130340621</c:v>
                </c:pt>
                <c:pt idx="7">
                  <c:v>440.89133708274301</c:v>
                </c:pt>
                <c:pt idx="8">
                  <c:v>496.59151961750655</c:v>
                </c:pt>
                <c:pt idx="9">
                  <c:v>552.422538907697</c:v>
                </c:pt>
                <c:pt idx="10">
                  <c:v>608.3843949533142</c:v>
                </c:pt>
                <c:pt idx="11">
                  <c:v>664.47708775435819</c:v>
                </c:pt>
                <c:pt idx="12">
                  <c:v>720.7006173108291</c:v>
                </c:pt>
                <c:pt idx="13">
                  <c:v>777.05498362272681</c:v>
                </c:pt>
                <c:pt idx="14">
                  <c:v>833.54018669005131</c:v>
                </c:pt>
                <c:pt idx="15">
                  <c:v>890.15622651280262</c:v>
                </c:pt>
                <c:pt idx="16">
                  <c:v>946.90310309098084</c:v>
                </c:pt>
                <c:pt idx="17">
                  <c:v>1003.7808164245859</c:v>
                </c:pt>
                <c:pt idx="18">
                  <c:v>1060.7893665136176</c:v>
                </c:pt>
                <c:pt idx="19">
                  <c:v>1117.9287533580762</c:v>
                </c:pt>
                <c:pt idx="20">
                  <c:v>1175.1989769579618</c:v>
                </c:pt>
                <c:pt idx="21">
                  <c:v>1232.600037313274</c:v>
                </c:pt>
                <c:pt idx="22">
                  <c:v>1290.131934424013</c:v>
                </c:pt>
                <c:pt idx="23">
                  <c:v>1347.7946682901791</c:v>
                </c:pt>
                <c:pt idx="24">
                  <c:v>1405.5882389117719</c:v>
                </c:pt>
                <c:pt idx="25">
                  <c:v>1463.5126462887913</c:v>
                </c:pt>
                <c:pt idx="26">
                  <c:v>1521.5678904212375</c:v>
                </c:pt>
                <c:pt idx="27">
                  <c:v>1579.753971309111</c:v>
                </c:pt>
                <c:pt idx="28">
                  <c:v>1638.070888952411</c:v>
                </c:pt>
                <c:pt idx="29">
                  <c:v>1696.5186433511378</c:v>
                </c:pt>
                <c:pt idx="30">
                  <c:v>1755.0972345052915</c:v>
                </c:pt>
                <c:pt idx="31">
                  <c:v>1813.8066624148721</c:v>
                </c:pt>
                <c:pt idx="32">
                  <c:v>1872.6469270798796</c:v>
                </c:pt>
                <c:pt idx="33">
                  <c:v>1931.6180285003136</c:v>
                </c:pt>
                <c:pt idx="34">
                  <c:v>1990.7199666761744</c:v>
                </c:pt>
                <c:pt idx="35">
                  <c:v>2049.9527416074625</c:v>
                </c:pt>
                <c:pt idx="36">
                  <c:v>2109.3163532941771</c:v>
                </c:pt>
                <c:pt idx="37">
                  <c:v>2168.8108017363184</c:v>
                </c:pt>
                <c:pt idx="38">
                  <c:v>2228.4360869338866</c:v>
                </c:pt>
                <c:pt idx="39">
                  <c:v>2288.1922088868819</c:v>
                </c:pt>
                <c:pt idx="40">
                  <c:v>2348.0791675953037</c:v>
                </c:pt>
                <c:pt idx="41">
                  <c:v>2408.0969630591526</c:v>
                </c:pt>
                <c:pt idx="42">
                  <c:v>2468.245595278428</c:v>
                </c:pt>
                <c:pt idx="43">
                  <c:v>2528.5250642531305</c:v>
                </c:pt>
                <c:pt idx="44">
                  <c:v>2588.9353699832595</c:v>
                </c:pt>
                <c:pt idx="45">
                  <c:v>2649.4765124688156</c:v>
                </c:pt>
                <c:pt idx="46">
                  <c:v>2710.1484917097982</c:v>
                </c:pt>
                <c:pt idx="47">
                  <c:v>2770.9513077062084</c:v>
                </c:pt>
                <c:pt idx="48">
                  <c:v>2831.8849604580446</c:v>
                </c:pt>
                <c:pt idx="49">
                  <c:v>2892.9494499653083</c:v>
                </c:pt>
                <c:pt idx="50">
                  <c:v>2954.1447762279981</c:v>
                </c:pt>
                <c:pt idx="51">
                  <c:v>3015.470939246115</c:v>
                </c:pt>
                <c:pt idx="52">
                  <c:v>3076.9279390196589</c:v>
                </c:pt>
                <c:pt idx="53">
                  <c:v>3138.5157755486293</c:v>
                </c:pt>
                <c:pt idx="54">
                  <c:v>3200.2344488330268</c:v>
                </c:pt>
                <c:pt idx="55">
                  <c:v>3262.0839588728513</c:v>
                </c:pt>
                <c:pt idx="56">
                  <c:v>3324.0643056681024</c:v>
                </c:pt>
                <c:pt idx="57">
                  <c:v>3386.1754892187805</c:v>
                </c:pt>
                <c:pt idx="58">
                  <c:v>3448.4175095248847</c:v>
                </c:pt>
                <c:pt idx="59">
                  <c:v>3510.7903665864164</c:v>
                </c:pt>
                <c:pt idx="60">
                  <c:v>3573.2940604033752</c:v>
                </c:pt>
                <c:pt idx="61">
                  <c:v>3635.92859097576</c:v>
                </c:pt>
                <c:pt idx="62">
                  <c:v>3698.6939583035719</c:v>
                </c:pt>
                <c:pt idx="63">
                  <c:v>3761.5901623868112</c:v>
                </c:pt>
                <c:pt idx="64">
                  <c:v>3824.6172032254767</c:v>
                </c:pt>
                <c:pt idx="65">
                  <c:v>3887.7750808195697</c:v>
                </c:pt>
                <c:pt idx="66">
                  <c:v>3951.0637951690883</c:v>
                </c:pt>
                <c:pt idx="67">
                  <c:v>4014.4833462740348</c:v>
                </c:pt>
                <c:pt idx="68">
                  <c:v>4078.0337341344075</c:v>
                </c:pt>
                <c:pt idx="69">
                  <c:v>4141.7149587502072</c:v>
                </c:pt>
                <c:pt idx="70">
                  <c:v>4205.5270201214335</c:v>
                </c:pt>
                <c:pt idx="71">
                  <c:v>4269.4699182480872</c:v>
                </c:pt>
                <c:pt idx="72">
                  <c:v>4333.5436531301675</c:v>
                </c:pt>
                <c:pt idx="73">
                  <c:v>4397.7482247676753</c:v>
                </c:pt>
                <c:pt idx="74">
                  <c:v>4462.0836331606088</c:v>
                </c:pt>
                <c:pt idx="75">
                  <c:v>4526.5498783089688</c:v>
                </c:pt>
                <c:pt idx="76">
                  <c:v>4591.1469602127563</c:v>
                </c:pt>
                <c:pt idx="77">
                  <c:v>4655.8748788719713</c:v>
                </c:pt>
                <c:pt idx="78">
                  <c:v>4720.7336342866129</c:v>
                </c:pt>
                <c:pt idx="79">
                  <c:v>4785.723226456681</c:v>
                </c:pt>
                <c:pt idx="80">
                  <c:v>4850.8436553821757</c:v>
                </c:pt>
                <c:pt idx="81">
                  <c:v>4916.094921063097</c:v>
                </c:pt>
                <c:pt idx="82">
                  <c:v>4981.4770234994457</c:v>
                </c:pt>
                <c:pt idx="83">
                  <c:v>5046.9899626912211</c:v>
                </c:pt>
                <c:pt idx="84">
                  <c:v>5112.633738638423</c:v>
                </c:pt>
                <c:pt idx="85">
                  <c:v>5178.4083513410515</c:v>
                </c:pt>
                <c:pt idx="86">
                  <c:v>5244.3138007991074</c:v>
                </c:pt>
                <c:pt idx="87">
                  <c:v>5310.3500870125899</c:v>
                </c:pt>
                <c:pt idx="88">
                  <c:v>5376.5172099814999</c:v>
                </c:pt>
                <c:pt idx="89">
                  <c:v>5442.8151697058365</c:v>
                </c:pt>
                <c:pt idx="90">
                  <c:v>5509.2439661855997</c:v>
                </c:pt>
                <c:pt idx="91">
                  <c:v>5575.8035994207885</c:v>
                </c:pt>
                <c:pt idx="92">
                  <c:v>5642.4940694114057</c:v>
                </c:pt>
                <c:pt idx="93">
                  <c:v>5709.3153761574495</c:v>
                </c:pt>
                <c:pt idx="94">
                  <c:v>5776.2675196589198</c:v>
                </c:pt>
                <c:pt idx="95">
                  <c:v>5843.3504999158167</c:v>
                </c:pt>
                <c:pt idx="96">
                  <c:v>5910.5643169281411</c:v>
                </c:pt>
                <c:pt idx="97">
                  <c:v>5977.9089706958921</c:v>
                </c:pt>
                <c:pt idx="98">
                  <c:v>6045.3844612190696</c:v>
                </c:pt>
                <c:pt idx="99">
                  <c:v>6112.9907884976747</c:v>
                </c:pt>
                <c:pt idx="100">
                  <c:v>6180.7279525317044</c:v>
                </c:pt>
                <c:pt idx="101">
                  <c:v>6248.5959533211635</c:v>
                </c:pt>
                <c:pt idx="102">
                  <c:v>6316.5947908660482</c:v>
                </c:pt>
                <c:pt idx="103">
                  <c:v>6384.7244651663605</c:v>
                </c:pt>
                <c:pt idx="104">
                  <c:v>6452.9849762220983</c:v>
                </c:pt>
                <c:pt idx="105">
                  <c:v>6521.3763240332646</c:v>
                </c:pt>
                <c:pt idx="106">
                  <c:v>6589.8985085998565</c:v>
                </c:pt>
                <c:pt idx="107">
                  <c:v>6658.551529921875</c:v>
                </c:pt>
                <c:pt idx="108">
                  <c:v>6727.335387999321</c:v>
                </c:pt>
                <c:pt idx="109">
                  <c:v>6796.2500828321936</c:v>
                </c:pt>
                <c:pt idx="110">
                  <c:v>6865.2956144204936</c:v>
                </c:pt>
                <c:pt idx="111">
                  <c:v>6934.4719827642202</c:v>
                </c:pt>
                <c:pt idx="112">
                  <c:v>7003.7791878633734</c:v>
                </c:pt>
                <c:pt idx="113">
                  <c:v>7073.2172297179532</c:v>
                </c:pt>
                <c:pt idx="114">
                  <c:v>7142.7861083279604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47-4EB9-A6A9-11827D82EDD6}"/>
            </c:ext>
          </c:extLst>
        </c:ser>
        <c:ser>
          <c:idx val="0"/>
          <c:order val="1"/>
          <c:tx>
            <c:v>M2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'Aero Force Calculations'!$AM$8:$AM$188</c:f>
              <c:numCache>
                <c:formatCode>General</c:formatCode>
                <c:ptCount val="181"/>
                <c:pt idx="0">
                  <c:v>115</c:v>
                </c:pt>
                <c:pt idx="1">
                  <c:v>116</c:v>
                </c:pt>
                <c:pt idx="2">
                  <c:v>117</c:v>
                </c:pt>
                <c:pt idx="3">
                  <c:v>118</c:v>
                </c:pt>
                <c:pt idx="4">
                  <c:v>119</c:v>
                </c:pt>
                <c:pt idx="5">
                  <c:v>120</c:v>
                </c:pt>
                <c:pt idx="6">
                  <c:v>121</c:v>
                </c:pt>
                <c:pt idx="7">
                  <c:v>122</c:v>
                </c:pt>
                <c:pt idx="8">
                  <c:v>123</c:v>
                </c:pt>
                <c:pt idx="9">
                  <c:v>124</c:v>
                </c:pt>
                <c:pt idx="10">
                  <c:v>125</c:v>
                </c:pt>
                <c:pt idx="11">
                  <c:v>126</c:v>
                </c:pt>
                <c:pt idx="12">
                  <c:v>127</c:v>
                </c:pt>
                <c:pt idx="13">
                  <c:v>128</c:v>
                </c:pt>
                <c:pt idx="14">
                  <c:v>129</c:v>
                </c:pt>
                <c:pt idx="15">
                  <c:v>130</c:v>
                </c:pt>
                <c:pt idx="16">
                  <c:v>131</c:v>
                </c:pt>
                <c:pt idx="17">
                  <c:v>132</c:v>
                </c:pt>
                <c:pt idx="18">
                  <c:v>133</c:v>
                </c:pt>
                <c:pt idx="19">
                  <c:v>134</c:v>
                </c:pt>
                <c:pt idx="20">
                  <c:v>135</c:v>
                </c:pt>
                <c:pt idx="21">
                  <c:v>136</c:v>
                </c:pt>
                <c:pt idx="22">
                  <c:v>137</c:v>
                </c:pt>
                <c:pt idx="23">
                  <c:v>138</c:v>
                </c:pt>
                <c:pt idx="24">
                  <c:v>139</c:v>
                </c:pt>
                <c:pt idx="25">
                  <c:v>140</c:v>
                </c:pt>
                <c:pt idx="26">
                  <c:v>141</c:v>
                </c:pt>
                <c:pt idx="27">
                  <c:v>142</c:v>
                </c:pt>
                <c:pt idx="28">
                  <c:v>143</c:v>
                </c:pt>
                <c:pt idx="29">
                  <c:v>144</c:v>
                </c:pt>
                <c:pt idx="30">
                  <c:v>145</c:v>
                </c:pt>
                <c:pt idx="31">
                  <c:v>146</c:v>
                </c:pt>
                <c:pt idx="32">
                  <c:v>147</c:v>
                </c:pt>
                <c:pt idx="33">
                  <c:v>148</c:v>
                </c:pt>
                <c:pt idx="34">
                  <c:v>149</c:v>
                </c:pt>
                <c:pt idx="35">
                  <c:v>150</c:v>
                </c:pt>
                <c:pt idx="36">
                  <c:v>151</c:v>
                </c:pt>
                <c:pt idx="37">
                  <c:v>152</c:v>
                </c:pt>
                <c:pt idx="38">
                  <c:v>153</c:v>
                </c:pt>
                <c:pt idx="39">
                  <c:v>154</c:v>
                </c:pt>
                <c:pt idx="40">
                  <c:v>155</c:v>
                </c:pt>
                <c:pt idx="41">
                  <c:v>156</c:v>
                </c:pt>
                <c:pt idx="42">
                  <c:v>157</c:v>
                </c:pt>
                <c:pt idx="43">
                  <c:v>158</c:v>
                </c:pt>
                <c:pt idx="44">
                  <c:v>159</c:v>
                </c:pt>
                <c:pt idx="45">
                  <c:v>160</c:v>
                </c:pt>
                <c:pt idx="46">
                  <c:v>161</c:v>
                </c:pt>
                <c:pt idx="47">
                  <c:v>162</c:v>
                </c:pt>
                <c:pt idx="48">
                  <c:v>163</c:v>
                </c:pt>
                <c:pt idx="49">
                  <c:v>164</c:v>
                </c:pt>
                <c:pt idx="50">
                  <c:v>165</c:v>
                </c:pt>
                <c:pt idx="51">
                  <c:v>166</c:v>
                </c:pt>
                <c:pt idx="52">
                  <c:v>167</c:v>
                </c:pt>
                <c:pt idx="53">
                  <c:v>168</c:v>
                </c:pt>
                <c:pt idx="54">
                  <c:v>169</c:v>
                </c:pt>
                <c:pt idx="55">
                  <c:v>170</c:v>
                </c:pt>
                <c:pt idx="56">
                  <c:v>171</c:v>
                </c:pt>
                <c:pt idx="57">
                  <c:v>172</c:v>
                </c:pt>
                <c:pt idx="58">
                  <c:v>173</c:v>
                </c:pt>
                <c:pt idx="59">
                  <c:v>174</c:v>
                </c:pt>
                <c:pt idx="60">
                  <c:v>175</c:v>
                </c:pt>
                <c:pt idx="61">
                  <c:v>176</c:v>
                </c:pt>
                <c:pt idx="62">
                  <c:v>177</c:v>
                </c:pt>
                <c:pt idx="63">
                  <c:v>178</c:v>
                </c:pt>
                <c:pt idx="64">
                  <c:v>179</c:v>
                </c:pt>
                <c:pt idx="65">
                  <c:v>180</c:v>
                </c:pt>
                <c:pt idx="66">
                  <c:v>181</c:v>
                </c:pt>
                <c:pt idx="67">
                  <c:v>182</c:v>
                </c:pt>
                <c:pt idx="68">
                  <c:v>183</c:v>
                </c:pt>
                <c:pt idx="69">
                  <c:v>184</c:v>
                </c:pt>
                <c:pt idx="70">
                  <c:v>185</c:v>
                </c:pt>
                <c:pt idx="71">
                  <c:v>186</c:v>
                </c:pt>
                <c:pt idx="72">
                  <c:v>187</c:v>
                </c:pt>
                <c:pt idx="73">
                  <c:v>188</c:v>
                </c:pt>
                <c:pt idx="74">
                  <c:v>189</c:v>
                </c:pt>
                <c:pt idx="75">
                  <c:v>190</c:v>
                </c:pt>
                <c:pt idx="76">
                  <c:v>191</c:v>
                </c:pt>
                <c:pt idx="77">
                  <c:v>192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xVal>
          <c:yVal>
            <c:numRef>
              <c:f>'Aero Force Calculations'!$AN$8:$AN$188</c:f>
              <c:numCache>
                <c:formatCode>General</c:formatCode>
                <c:ptCount val="181"/>
                <c:pt idx="0">
                  <c:v>7162.9447869013529</c:v>
                </c:pt>
                <c:pt idx="1">
                  <c:v>6909.4237399151316</c:v>
                </c:pt>
                <c:pt idx="2">
                  <c:v>6660.1256717705255</c:v>
                </c:pt>
                <c:pt idx="3">
                  <c:v>6415.050582467491</c:v>
                </c:pt>
                <c:pt idx="4">
                  <c:v>6174.1984720060573</c:v>
                </c:pt>
                <c:pt idx="5">
                  <c:v>5937.5693403862097</c:v>
                </c:pt>
                <c:pt idx="6">
                  <c:v>5705.1631876079773</c:v>
                </c:pt>
                <c:pt idx="7">
                  <c:v>5476.9800136713311</c:v>
                </c:pt>
                <c:pt idx="8">
                  <c:v>5253.019818576242</c:v>
                </c:pt>
                <c:pt idx="9">
                  <c:v>5033.2826023227826</c:v>
                </c:pt>
                <c:pt idx="10">
                  <c:v>4817.7683649108803</c:v>
                </c:pt>
                <c:pt idx="11">
                  <c:v>4606.4771063405933</c:v>
                </c:pt>
                <c:pt idx="12">
                  <c:v>4399.408826611907</c:v>
                </c:pt>
                <c:pt idx="13">
                  <c:v>4196.5635257247777</c:v>
                </c:pt>
                <c:pt idx="14">
                  <c:v>3997.9412036792637</c:v>
                </c:pt>
                <c:pt idx="15">
                  <c:v>3803.5418604753359</c:v>
                </c:pt>
                <c:pt idx="16">
                  <c:v>3613.3654961130087</c:v>
                </c:pt>
                <c:pt idx="17">
                  <c:v>3427.4121105922386</c:v>
                </c:pt>
                <c:pt idx="18">
                  <c:v>3245.6817039130983</c:v>
                </c:pt>
                <c:pt idx="19">
                  <c:v>3068.1742760755151</c:v>
                </c:pt>
                <c:pt idx="20">
                  <c:v>2894.8898270795471</c:v>
                </c:pt>
                <c:pt idx="21">
                  <c:v>2725.8283569251944</c:v>
                </c:pt>
                <c:pt idx="22">
                  <c:v>2560.9898656123842</c:v>
                </c:pt>
                <c:pt idx="23">
                  <c:v>2400.3743531412038</c:v>
                </c:pt>
                <c:pt idx="24">
                  <c:v>2243.9818195115658</c:v>
                </c:pt>
                <c:pt idx="25">
                  <c:v>2091.8122647235577</c:v>
                </c:pt>
                <c:pt idx="26">
                  <c:v>1943.8656887771212</c:v>
                </c:pt>
                <c:pt idx="27">
                  <c:v>1800.1420916723</c:v>
                </c:pt>
                <c:pt idx="28">
                  <c:v>1660.6414734090649</c:v>
                </c:pt>
                <c:pt idx="29">
                  <c:v>1525.3638339873869</c:v>
                </c:pt>
                <c:pt idx="30">
                  <c:v>1394.3091734073241</c:v>
                </c:pt>
                <c:pt idx="31">
                  <c:v>1267.4774916688621</c:v>
                </c:pt>
                <c:pt idx="32">
                  <c:v>1144.8687887720007</c:v>
                </c:pt>
                <c:pt idx="33">
                  <c:v>1026.4830647167109</c:v>
                </c:pt>
                <c:pt idx="34">
                  <c:v>912.32031950299279</c:v>
                </c:pt>
                <c:pt idx="35">
                  <c:v>802.38055313087534</c:v>
                </c:pt>
                <c:pt idx="36">
                  <c:v>696.6637656003586</c:v>
                </c:pt>
                <c:pt idx="37">
                  <c:v>595.16995691144257</c:v>
                </c:pt>
                <c:pt idx="38">
                  <c:v>497.89912706412724</c:v>
                </c:pt>
                <c:pt idx="39">
                  <c:v>404.85127605838352</c:v>
                </c:pt>
                <c:pt idx="40">
                  <c:v>316.0264038942405</c:v>
                </c:pt>
                <c:pt idx="41">
                  <c:v>231.42451057163998</c:v>
                </c:pt>
                <c:pt idx="42">
                  <c:v>151.04559609066928</c:v>
                </c:pt>
                <c:pt idx="43">
                  <c:v>74.889660451357486</c:v>
                </c:pt>
                <c:pt idx="44">
                  <c:v>2.9567036535299849</c:v>
                </c:pt>
                <c:pt idx="45">
                  <c:v>-64.753274302638602</c:v>
                </c:pt>
                <c:pt idx="46">
                  <c:v>-128.24027341723558</c:v>
                </c:pt>
                <c:pt idx="47">
                  <c:v>-187.50429369026097</c:v>
                </c:pt>
                <c:pt idx="48">
                  <c:v>-242.54533512168564</c:v>
                </c:pt>
                <c:pt idx="49">
                  <c:v>-293.36339771150961</c:v>
                </c:pt>
                <c:pt idx="50">
                  <c:v>-339.95848145976197</c:v>
                </c:pt>
                <c:pt idx="51">
                  <c:v>-382.33058636644273</c:v>
                </c:pt>
                <c:pt idx="52">
                  <c:v>-420.47971243146458</c:v>
                </c:pt>
                <c:pt idx="53">
                  <c:v>-454.40585965494392</c:v>
                </c:pt>
                <c:pt idx="54">
                  <c:v>-484.10902803682256</c:v>
                </c:pt>
                <c:pt idx="55">
                  <c:v>-509.5892175771005</c:v>
                </c:pt>
                <c:pt idx="56">
                  <c:v>-530.84642827577773</c:v>
                </c:pt>
                <c:pt idx="57">
                  <c:v>-547.88066013288335</c:v>
                </c:pt>
                <c:pt idx="58">
                  <c:v>-560.69191314841737</c:v>
                </c:pt>
                <c:pt idx="59">
                  <c:v>-569.28018732229248</c:v>
                </c:pt>
                <c:pt idx="60">
                  <c:v>-573.64548265465419</c:v>
                </c:pt>
                <c:pt idx="61">
                  <c:v>-573.78779914538609</c:v>
                </c:pt>
                <c:pt idx="62">
                  <c:v>-569.70713679454639</c:v>
                </c:pt>
                <c:pt idx="63">
                  <c:v>-561.40349560207687</c:v>
                </c:pt>
                <c:pt idx="64">
                  <c:v>-548.87687556803576</c:v>
                </c:pt>
                <c:pt idx="65">
                  <c:v>-532.12727669239393</c:v>
                </c:pt>
                <c:pt idx="66">
                  <c:v>-511.15469897518051</c:v>
                </c:pt>
                <c:pt idx="67">
                  <c:v>-485.95914241639548</c:v>
                </c:pt>
                <c:pt idx="68">
                  <c:v>-456.54060701600974</c:v>
                </c:pt>
                <c:pt idx="69">
                  <c:v>-422.8990927739942</c:v>
                </c:pt>
                <c:pt idx="70">
                  <c:v>-385.03459969040705</c:v>
                </c:pt>
                <c:pt idx="71">
                  <c:v>-342.94712776521919</c:v>
                </c:pt>
                <c:pt idx="72">
                  <c:v>-296.63667699845973</c:v>
                </c:pt>
                <c:pt idx="73">
                  <c:v>-246.10324739012867</c:v>
                </c:pt>
                <c:pt idx="74">
                  <c:v>-191.3468389401678</c:v>
                </c:pt>
                <c:pt idx="75">
                  <c:v>-132.36745164860622</c:v>
                </c:pt>
                <c:pt idx="76">
                  <c:v>-69.165085515502142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47-4EB9-A6A9-11827D82E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380576"/>
        <c:axId val="1464679280"/>
      </c:scatterChart>
      <c:valAx>
        <c:axId val="185638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679280"/>
        <c:crosses val="autoZero"/>
        <c:crossBetween val="midCat"/>
      </c:valAx>
      <c:valAx>
        <c:axId val="146467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6380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5" Type="http://schemas.openxmlformats.org/officeDocument/2006/relationships/image" Target="../media/image120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5" Type="http://schemas.openxmlformats.org/officeDocument/2006/relationships/image" Target="../media/image44.png"/><Relationship Id="rId10" Type="http://schemas.openxmlformats.org/officeDocument/2006/relationships/image" Target="../media/image49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53.png"/><Relationship Id="rId7" Type="http://schemas.openxmlformats.org/officeDocument/2006/relationships/image" Target="../media/image31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10" Type="http://schemas.openxmlformats.org/officeDocument/2006/relationships/image" Target="../media/image57.png"/><Relationship Id="rId4" Type="http://schemas.openxmlformats.org/officeDocument/2006/relationships/image" Target="../media/image54.png"/><Relationship Id="rId9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5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6" Type="http://schemas.openxmlformats.org/officeDocument/2006/relationships/image" Target="../media/image57.png"/><Relationship Id="rId5" Type="http://schemas.openxmlformats.org/officeDocument/2006/relationships/image" Target="../media/image48.png"/><Relationship Id="rId4" Type="http://schemas.openxmlformats.org/officeDocument/2006/relationships/image" Target="../media/image3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21530</xdr:colOff>
      <xdr:row>8</xdr:row>
      <xdr:rowOff>47626</xdr:rowOff>
    </xdr:from>
    <xdr:to>
      <xdr:col>20</xdr:col>
      <xdr:colOff>275056</xdr:colOff>
      <xdr:row>36</xdr:row>
      <xdr:rowOff>163281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E4783C-9989-46B9-9065-255D82C2B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5380" y="1619251"/>
          <a:ext cx="5277471" cy="6430730"/>
        </a:xfrm>
        <a:prstGeom prst="rect">
          <a:avLst/>
        </a:prstGeom>
      </xdr:spPr>
    </xdr:pic>
    <xdr:clientData/>
  </xdr:twoCellAnchor>
  <xdr:twoCellAnchor editAs="oneCell">
    <xdr:from>
      <xdr:col>18</xdr:col>
      <xdr:colOff>234042</xdr:colOff>
      <xdr:row>46</xdr:row>
      <xdr:rowOff>2561</xdr:rowOff>
    </xdr:from>
    <xdr:to>
      <xdr:col>22</xdr:col>
      <xdr:colOff>108859</xdr:colOff>
      <xdr:row>60</xdr:row>
      <xdr:rowOff>9191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288B63-6967-3AB4-F16F-F248F2FADCB5}"/>
            </a:ext>
            <a:ext uri="{147F2762-F138-4A5C-976F-8EAC2B608ADB}">
              <a16:predDERef xmlns:a16="http://schemas.microsoft.com/office/drawing/2014/main" pred="{77552B9D-6BBB-BB68-F277-36293E9C8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14863" y="10575311"/>
          <a:ext cx="2569030" cy="4969155"/>
        </a:xfrm>
        <a:prstGeom prst="rect">
          <a:avLst/>
        </a:prstGeom>
      </xdr:spPr>
    </xdr:pic>
    <xdr:clientData/>
  </xdr:twoCellAnchor>
  <xdr:twoCellAnchor editAs="oneCell">
    <xdr:from>
      <xdr:col>15</xdr:col>
      <xdr:colOff>786974</xdr:colOff>
      <xdr:row>64</xdr:row>
      <xdr:rowOff>200025</xdr:rowOff>
    </xdr:from>
    <xdr:to>
      <xdr:col>19</xdr:col>
      <xdr:colOff>32311</xdr:colOff>
      <xdr:row>71</xdr:row>
      <xdr:rowOff>77201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DC6489-9F9B-DBE7-CA07-6C0681C9A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98074" y="16421100"/>
          <a:ext cx="2802432" cy="2720389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542924</xdr:colOff>
      <xdr:row>10</xdr:row>
      <xdr:rowOff>0</xdr:rowOff>
    </xdr:from>
    <xdr:to>
      <xdr:col>5</xdr:col>
      <xdr:colOff>708903</xdr:colOff>
      <xdr:row>21</xdr:row>
      <xdr:rowOff>247650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56190-3265-EBED-9093-144E5265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924" y="1971675"/>
          <a:ext cx="4171803" cy="2381250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10</xdr:row>
      <xdr:rowOff>180975</xdr:rowOff>
    </xdr:from>
    <xdr:to>
      <xdr:col>12</xdr:col>
      <xdr:colOff>189634</xdr:colOff>
      <xdr:row>19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2C6401-631C-3478-2972-101C97DA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67325" y="2152650"/>
          <a:ext cx="5355866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25</xdr:row>
      <xdr:rowOff>9525</xdr:rowOff>
    </xdr:from>
    <xdr:to>
      <xdr:col>5</xdr:col>
      <xdr:colOff>887178</xdr:colOff>
      <xdr:row>34</xdr:row>
      <xdr:rowOff>216639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3F1194-18E1-9E1C-03D0-34DF3D08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1950" y="5257800"/>
          <a:ext cx="4495799" cy="2416914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752475</xdr:colOff>
      <xdr:row>24</xdr:row>
      <xdr:rowOff>66675</xdr:rowOff>
    </xdr:from>
    <xdr:to>
      <xdr:col>11</xdr:col>
      <xdr:colOff>340450</xdr:colOff>
      <xdr:row>35</xdr:row>
      <xdr:rowOff>610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639D63-1D14-7C2B-20CA-935D0BE2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53075" y="5124450"/>
          <a:ext cx="4399813" cy="25628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790013</xdr:colOff>
      <xdr:row>1</xdr:row>
      <xdr:rowOff>74119</xdr:rowOff>
    </xdr:from>
    <xdr:to>
      <xdr:col>17</xdr:col>
      <xdr:colOff>741109</xdr:colOff>
      <xdr:row>25</xdr:row>
      <xdr:rowOff>250515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C5545A-A538-4F72-8E56-5AD6A2D9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48" y="264619"/>
          <a:ext cx="5208336" cy="6291446"/>
        </a:xfrm>
        <a:prstGeom prst="rect">
          <a:avLst/>
        </a:prstGeom>
      </xdr:spPr>
    </xdr:pic>
    <xdr:clientData/>
  </xdr:twoCellAnchor>
  <xdr:twoCellAnchor editAs="oneCell">
    <xdr:from>
      <xdr:col>8</xdr:col>
      <xdr:colOff>49225</xdr:colOff>
      <xdr:row>27</xdr:row>
      <xdr:rowOff>67236</xdr:rowOff>
    </xdr:from>
    <xdr:to>
      <xdr:col>17</xdr:col>
      <xdr:colOff>909877</xdr:colOff>
      <xdr:row>30</xdr:row>
      <xdr:rowOff>129830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F693AF-F43B-EBA2-BCC1-15424F1A8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6049" y="6779560"/>
          <a:ext cx="10753890" cy="872223"/>
        </a:xfrm>
        <a:prstGeom prst="rect">
          <a:avLst/>
        </a:prstGeom>
      </xdr:spPr>
    </xdr:pic>
    <xdr:clientData/>
  </xdr:twoCellAnchor>
  <xdr:twoCellAnchor editAs="oneCell">
    <xdr:from>
      <xdr:col>8</xdr:col>
      <xdr:colOff>70838</xdr:colOff>
      <xdr:row>35</xdr:row>
      <xdr:rowOff>134471</xdr:rowOff>
    </xdr:from>
    <xdr:to>
      <xdr:col>18</xdr:col>
      <xdr:colOff>344246</xdr:colOff>
      <xdr:row>38</xdr:row>
      <xdr:rowOff>112311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id="{A1E8F196-E02F-24DD-714B-2CC7A558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367" y="8438030"/>
          <a:ext cx="11237741" cy="701740"/>
        </a:xfrm>
        <a:prstGeom prst="rect">
          <a:avLst/>
        </a:prstGeom>
      </xdr:spPr>
    </xdr:pic>
    <xdr:clientData/>
  </xdr:twoCellAnchor>
  <xdr:twoCellAnchor editAs="oneCell">
    <xdr:from>
      <xdr:col>8</xdr:col>
      <xdr:colOff>132472</xdr:colOff>
      <xdr:row>31</xdr:row>
      <xdr:rowOff>22561</xdr:rowOff>
    </xdr:from>
    <xdr:to>
      <xdr:col>12</xdr:col>
      <xdr:colOff>284139</xdr:colOff>
      <xdr:row>34</xdr:row>
      <xdr:rowOff>104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8834776-8A59-CABA-897E-B50FE496F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59296" y="7687385"/>
          <a:ext cx="4848736" cy="96355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50</xdr:row>
      <xdr:rowOff>19050</xdr:rowOff>
    </xdr:from>
    <xdr:to>
      <xdr:col>10</xdr:col>
      <xdr:colOff>193926</xdr:colOff>
      <xdr:row>53</xdr:row>
      <xdr:rowOff>2386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1A6845-C4D2-34D7-A058-43E160F6883C}"/>
            </a:ext>
            <a:ext uri="{147F2762-F138-4A5C-976F-8EAC2B608ADB}">
              <a16:predDERef xmlns:a16="http://schemas.microsoft.com/office/drawing/2014/main" pred="{F106D9EF-8BCE-98EE-172A-160C3AA3A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91400" y="10086975"/>
          <a:ext cx="2686050" cy="75247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47</xdr:row>
      <xdr:rowOff>9525</xdr:rowOff>
    </xdr:from>
    <xdr:to>
      <xdr:col>9</xdr:col>
      <xdr:colOff>1025775</xdr:colOff>
      <xdr:row>48</xdr:row>
      <xdr:rowOff>149221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66B9F4A-4E48-FDA0-CA34-880AFDA56A07}"/>
            </a:ext>
            <a:ext uri="{147F2762-F138-4A5C-976F-8EAC2B608ADB}">
              <a16:predDERef xmlns:a16="http://schemas.microsoft.com/office/drawing/2014/main" pred="{551A6845-C4D2-34D7-A058-43E160F68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91400" y="8991600"/>
          <a:ext cx="2381250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53</xdr:row>
      <xdr:rowOff>142875</xdr:rowOff>
    </xdr:from>
    <xdr:to>
      <xdr:col>9</xdr:col>
      <xdr:colOff>205879</xdr:colOff>
      <xdr:row>55</xdr:row>
      <xdr:rowOff>130170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34AC5EA-5BE6-231E-BC16-8C4721EAF6D5}"/>
            </a:ext>
            <a:ext uri="{147F2762-F138-4A5C-976F-8EAC2B608ADB}">
              <a16:predDERef xmlns:a16="http://schemas.microsoft.com/office/drawing/2014/main" pred="{C66B9F4A-4E48-FDA0-CA34-880AFDA5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15225" y="11296650"/>
          <a:ext cx="1514475" cy="5715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952500</xdr:colOff>
      <xdr:row>54</xdr:row>
      <xdr:rowOff>47625</xdr:rowOff>
    </xdr:from>
    <xdr:to>
      <xdr:col>11</xdr:col>
      <xdr:colOff>40901</xdr:colOff>
      <xdr:row>55</xdr:row>
      <xdr:rowOff>73021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99CD2F1-57E9-643E-13FC-BDF8A9AB5A8B}"/>
            </a:ext>
            <a:ext uri="{147F2762-F138-4A5C-976F-8EAC2B608ADB}">
              <a16:predDERef xmlns:a16="http://schemas.microsoft.com/office/drawing/2014/main" pred="{434AC5EA-5BE6-231E-BC16-8C4721EAF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172575" y="11382375"/>
          <a:ext cx="120015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57</xdr:row>
      <xdr:rowOff>171450</xdr:rowOff>
    </xdr:from>
    <xdr:to>
      <xdr:col>12</xdr:col>
      <xdr:colOff>872816</xdr:colOff>
      <xdr:row>58</xdr:row>
      <xdr:rowOff>381001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990176F-E198-2E33-1E00-0251CC5C1894}"/>
            </a:ext>
            <a:ext uri="{147F2762-F138-4A5C-976F-8EAC2B608ADB}">
              <a16:predDERef xmlns:a16="http://schemas.microsoft.com/office/drawing/2014/main" pred="{099CD2F1-57E9-643E-13FC-BDF8A9AB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0450" y="12230100"/>
          <a:ext cx="5372100" cy="381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62</xdr:row>
      <xdr:rowOff>19050</xdr:rowOff>
    </xdr:from>
    <xdr:to>
      <xdr:col>12</xdr:col>
      <xdr:colOff>1358</xdr:colOff>
      <xdr:row>63</xdr:row>
      <xdr:rowOff>57147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56830B1-CDA9-83ED-C94E-2A7B6D359081}"/>
            </a:ext>
            <a:ext uri="{147F2762-F138-4A5C-976F-8EAC2B608ADB}">
              <a16:predDERef xmlns:a16="http://schemas.microsoft.com/office/drawing/2014/main" pred="{0990176F-E198-2E33-1E00-0251CC5C1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00925" y="13163550"/>
          <a:ext cx="4572000" cy="4667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65</xdr:row>
      <xdr:rowOff>161925</xdr:rowOff>
    </xdr:from>
    <xdr:to>
      <xdr:col>12</xdr:col>
      <xdr:colOff>1358</xdr:colOff>
      <xdr:row>66</xdr:row>
      <xdr:rowOff>358776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AE4F234-8C99-C11A-4B90-F3BC1C8628E0}"/>
            </a:ext>
            <a:ext uri="{147F2762-F138-4A5C-976F-8EAC2B608ADB}">
              <a16:predDERef xmlns:a16="http://schemas.microsoft.com/office/drawing/2014/main" pred="{F56830B1-CDA9-83ED-C94E-2A7B6D359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00925" y="14058900"/>
          <a:ext cx="4572000" cy="39052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70</xdr:row>
      <xdr:rowOff>9525</xdr:rowOff>
    </xdr:from>
    <xdr:to>
      <xdr:col>8</xdr:col>
      <xdr:colOff>1006289</xdr:colOff>
      <xdr:row>71</xdr:row>
      <xdr:rowOff>15871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D7C0D1F-AFE6-79C6-18B8-88F406C44A49}"/>
            </a:ext>
            <a:ext uri="{147F2762-F138-4A5C-976F-8EAC2B608ADB}">
              <a16:predDERef xmlns:a16="http://schemas.microsoft.com/office/drawing/2014/main" pred="{EAE4F234-8C99-C11A-4B90-F3BC1C86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72350" y="15020925"/>
          <a:ext cx="914400" cy="428625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70</xdr:row>
      <xdr:rowOff>19050</xdr:rowOff>
    </xdr:from>
    <xdr:to>
      <xdr:col>10</xdr:col>
      <xdr:colOff>232522</xdr:colOff>
      <xdr:row>71</xdr:row>
      <xdr:rowOff>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D5F0519-DBD5-FAE6-2F7A-EAD0D1540E30}"/>
            </a:ext>
            <a:ext uri="{147F2762-F138-4A5C-976F-8EAC2B608ADB}">
              <a16:predDERef xmlns:a16="http://schemas.microsoft.com/office/drawing/2014/main" pred="{7D7C0D1F-AFE6-79C6-18B8-88F406C44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477250" y="15030450"/>
          <a:ext cx="1028700" cy="39052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73</xdr:row>
      <xdr:rowOff>28575</xdr:rowOff>
    </xdr:from>
    <xdr:to>
      <xdr:col>13</xdr:col>
      <xdr:colOff>1808</xdr:colOff>
      <xdr:row>73</xdr:row>
      <xdr:rowOff>514350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58AC46A-88CD-3CCB-4D61-83D69FB59CAD}"/>
            </a:ext>
            <a:ext uri="{147F2762-F138-4A5C-976F-8EAC2B608ADB}">
              <a16:predDERef xmlns:a16="http://schemas.microsoft.com/office/drawing/2014/main" pred="{5B0BACF0-C62F-FD78-C9FF-B71A236D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48550" y="16678275"/>
          <a:ext cx="552450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76</xdr:row>
      <xdr:rowOff>9525</xdr:rowOff>
    </xdr:from>
    <xdr:to>
      <xdr:col>11</xdr:col>
      <xdr:colOff>720601</xdr:colOff>
      <xdr:row>79</xdr:row>
      <xdr:rowOff>244471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6DED023-8C2D-BEB1-ADED-8B58E569A6E0}"/>
            </a:ext>
            <a:ext uri="{147F2762-F138-4A5C-976F-8EAC2B608ADB}">
              <a16:predDERef xmlns:a16="http://schemas.microsoft.com/office/drawing/2014/main" pred="{358AC46A-88CD-3CCB-4D61-83D69FB59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400925" y="17421225"/>
          <a:ext cx="4181475" cy="123825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83</xdr:row>
      <xdr:rowOff>9525</xdr:rowOff>
    </xdr:from>
    <xdr:to>
      <xdr:col>18</xdr:col>
      <xdr:colOff>779434</xdr:colOff>
      <xdr:row>109</xdr:row>
      <xdr:rowOff>38100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D1A655-2626-B24D-EA2C-6E4B7C54A72B}"/>
            </a:ext>
            <a:ext uri="{147F2762-F138-4A5C-976F-8EAC2B608ADB}">
              <a16:predDERef xmlns:a16="http://schemas.microsoft.com/office/drawing/2014/main" pred="{46DED023-8C2D-BEB1-ADED-8B58E569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562975" y="21345525"/>
          <a:ext cx="11477066" cy="5362575"/>
        </a:xfrm>
        <a:prstGeom prst="rect">
          <a:avLst/>
        </a:prstGeom>
      </xdr:spPr>
    </xdr:pic>
    <xdr:clientData/>
  </xdr:twoCellAnchor>
  <xdr:twoCellAnchor editAs="oneCell">
    <xdr:from>
      <xdr:col>8</xdr:col>
      <xdr:colOff>327365</xdr:colOff>
      <xdr:row>116</xdr:row>
      <xdr:rowOff>81294</xdr:rowOff>
    </xdr:from>
    <xdr:to>
      <xdr:col>21</xdr:col>
      <xdr:colOff>669123</xdr:colOff>
      <xdr:row>123</xdr:row>
      <xdr:rowOff>473548</xdr:rowOff>
    </xdr:to>
    <xdr:pic>
      <xdr:nvPicPr>
        <xdr:cNvPr id="43" name="Picture 20">
          <a:extLst>
            <a:ext uri="{FF2B5EF4-FFF2-40B4-BE49-F238E27FC236}">
              <a16:creationId xmlns:a16="http://schemas.microsoft.com/office/drawing/2014/main" id="{BA08D2AF-43BB-EF34-03AA-4D153379A270}"/>
            </a:ext>
            <a:ext uri="{147F2762-F138-4A5C-976F-8EAC2B608ADB}">
              <a16:predDERef xmlns:a16="http://schemas.microsoft.com/office/drawing/2014/main" pred="{18D1A655-2626-B24D-EA2C-6E4B7C54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709365" y="28084794"/>
          <a:ext cx="14369967" cy="2498187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41</xdr:row>
      <xdr:rowOff>19050</xdr:rowOff>
    </xdr:from>
    <xdr:to>
      <xdr:col>9</xdr:col>
      <xdr:colOff>909954</xdr:colOff>
      <xdr:row>44</xdr:row>
      <xdr:rowOff>19053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F4FD8B0-BAD8-F93D-491F-B315714ADB33}"/>
            </a:ext>
            <a:ext uri="{147F2762-F138-4A5C-976F-8EAC2B608ADB}">
              <a16:predDERef xmlns:a16="http://schemas.microsoft.com/office/drawing/2014/main" pred="{BA08D2AF-43BB-EF34-03AA-4D153379A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5" y="9925050"/>
          <a:ext cx="1984163" cy="8191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635073</xdr:colOff>
      <xdr:row>95</xdr:row>
      <xdr:rowOff>14341</xdr:rowOff>
    </xdr:from>
    <xdr:to>
      <xdr:col>7</xdr:col>
      <xdr:colOff>986538</xdr:colOff>
      <xdr:row>98</xdr:row>
      <xdr:rowOff>38762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CB455E-BD5E-19FF-AF9D-6765B2D3E826}"/>
            </a:ext>
            <a:ext uri="{147F2762-F138-4A5C-976F-8EAC2B608ADB}">
              <a16:predDERef xmlns:a16="http://schemas.microsoft.com/office/drawing/2014/main" pred="{1F4FD8B0-BAD8-F93D-491F-B315714A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07588" y="22564225"/>
          <a:ext cx="4841801" cy="572663"/>
        </a:xfrm>
        <a:prstGeom prst="rect">
          <a:avLst/>
        </a:prstGeom>
      </xdr:spPr>
    </xdr:pic>
    <xdr:clientData/>
  </xdr:twoCellAnchor>
  <xdr:twoCellAnchor>
    <xdr:from>
      <xdr:col>27</xdr:col>
      <xdr:colOff>128838</xdr:colOff>
      <xdr:row>6</xdr:row>
      <xdr:rowOff>75196</xdr:rowOff>
    </xdr:from>
    <xdr:to>
      <xdr:col>33</xdr:col>
      <xdr:colOff>1143000</xdr:colOff>
      <xdr:row>28</xdr:row>
      <xdr:rowOff>78441</xdr:rowOff>
    </xdr:to>
    <xdr:graphicFrame macro="">
      <xdr:nvGraphicFramePr>
        <xdr:cNvPr id="31" name="Chart 17">
          <a:extLst>
            <a:ext uri="{FF2B5EF4-FFF2-40B4-BE49-F238E27FC236}">
              <a16:creationId xmlns:a16="http://schemas.microsoft.com/office/drawing/2014/main" id="{1111D040-BEEC-7CC3-9EEE-C0789C559C0E}"/>
            </a:ext>
            <a:ext uri="{147F2762-F138-4A5C-976F-8EAC2B608ADB}">
              <a16:predDERef xmlns:a16="http://schemas.microsoft.com/office/drawing/2014/main" pred="{4700A489-E56A-6EBB-D13A-43D7580B9C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3</xdr:col>
      <xdr:colOff>563404</xdr:colOff>
      <xdr:row>89</xdr:row>
      <xdr:rowOff>19049</xdr:rowOff>
    </xdr:from>
    <xdr:to>
      <xdr:col>7</xdr:col>
      <xdr:colOff>133387</xdr:colOff>
      <xdr:row>94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7909800-EBC4-30E8-08BA-B87968E51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706654" y="22879049"/>
          <a:ext cx="3760983" cy="1028701"/>
        </a:xfrm>
        <a:prstGeom prst="rect">
          <a:avLst/>
        </a:prstGeom>
      </xdr:spPr>
    </xdr:pic>
    <xdr:clientData/>
  </xdr:twoCellAnchor>
  <xdr:twoCellAnchor editAs="oneCell">
    <xdr:from>
      <xdr:col>12</xdr:col>
      <xdr:colOff>10481</xdr:colOff>
      <xdr:row>39</xdr:row>
      <xdr:rowOff>148459</xdr:rowOff>
    </xdr:from>
    <xdr:to>
      <xdr:col>16</xdr:col>
      <xdr:colOff>17329</xdr:colOff>
      <xdr:row>53</xdr:row>
      <xdr:rowOff>16100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A5EBC6B-B8DE-44A8-A98A-6C3A2270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2998400" y="9879736"/>
          <a:ext cx="3480791" cy="4211238"/>
        </a:xfrm>
        <a:prstGeom prst="rect">
          <a:avLst/>
        </a:prstGeom>
      </xdr:spPr>
    </xdr:pic>
    <xdr:clientData/>
  </xdr:twoCellAnchor>
  <xdr:twoCellAnchor>
    <xdr:from>
      <xdr:col>40</xdr:col>
      <xdr:colOff>561975</xdr:colOff>
      <xdr:row>5</xdr:row>
      <xdr:rowOff>504825</xdr:rowOff>
    </xdr:from>
    <xdr:to>
      <xdr:col>47</xdr:col>
      <xdr:colOff>762000</xdr:colOff>
      <xdr:row>23</xdr:row>
      <xdr:rowOff>171450</xdr:rowOff>
    </xdr:to>
    <xdr:graphicFrame macro="">
      <xdr:nvGraphicFramePr>
        <xdr:cNvPr id="21" name="Chart 17">
          <a:extLst>
            <a:ext uri="{FF2B5EF4-FFF2-40B4-BE49-F238E27FC236}">
              <a16:creationId xmlns:a16="http://schemas.microsoft.com/office/drawing/2014/main" id="{30E9ED85-8AC4-48A2-BB83-7112BD2D2A20}"/>
            </a:ext>
            <a:ext uri="{147F2762-F138-4A5C-976F-8EAC2B608ADB}">
              <a16:predDERef xmlns:a16="http://schemas.microsoft.com/office/drawing/2014/main" pred="{3A5EBC6B-B8DE-44A8-A98A-6C3A2270A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oneCellAnchor>
    <xdr:from>
      <xdr:col>8</xdr:col>
      <xdr:colOff>262778</xdr:colOff>
      <xdr:row>25</xdr:row>
      <xdr:rowOff>49866</xdr:rowOff>
    </xdr:from>
    <xdr:ext cx="1287019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TextBox 21">
              <a:extLst>
                <a:ext uri="{FF2B5EF4-FFF2-40B4-BE49-F238E27FC236}">
                  <a16:creationId xmlns:a16="http://schemas.microsoft.com/office/drawing/2014/main" id="{D6D72234-CE81-7CDB-D47A-A2A432C31C93}"/>
                </a:ext>
                <a:ext uri="{147F2762-F138-4A5C-976F-8EAC2B608ADB}">
                  <a16:predDERef xmlns:a16="http://schemas.microsoft.com/office/drawing/2014/main" pred="{30E9ED85-8AC4-48A2-BB83-7112BD2D2A20}"/>
                </a:ext>
              </a:extLst>
            </xdr:cNvPr>
            <xdr:cNvSpPr txBox="1"/>
          </xdr:nvSpPr>
          <xdr:spPr>
            <a:xfrm>
              <a:off x="9272307" y="5820895"/>
              <a:ext cx="1287019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𝑄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n-US" sz="11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𝑅h𝑜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p>
                          <m:sSup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p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𝑀𝑎𝑥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D6D72234-CE81-7CDB-D47A-A2A432C31C93}"/>
                </a:ext>
              </a:extLst>
            </xdr:cNvPr>
            <xdr:cNvSpPr txBox="1"/>
          </xdr:nvSpPr>
          <xdr:spPr>
            <a:xfrm>
              <a:off x="9272307" y="5820895"/>
              <a:ext cx="1287019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𝑄=1/2∗𝑅ℎ𝑜∗〖𝑉^2〗_𝑀𝑎𝑥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272143</xdr:colOff>
      <xdr:row>7</xdr:row>
      <xdr:rowOff>119146</xdr:rowOff>
    </xdr:from>
    <xdr:to>
      <xdr:col>23</xdr:col>
      <xdr:colOff>570086</xdr:colOff>
      <xdr:row>23</xdr:row>
      <xdr:rowOff>182794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6603EBC3-D650-4247-A7F2-EF6EA4D9A366}"/>
            </a:ext>
            <a:ext uri="{147F2762-F138-4A5C-976F-8EAC2B608ADB}">
              <a16:predDERef xmlns:a16="http://schemas.microsoft.com/office/drawing/2014/main" pred="{42C5545A-A538-4F72-8E56-5AD6A2D9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99643" y="2449369"/>
          <a:ext cx="3478613" cy="3822621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71716</xdr:colOff>
      <xdr:row>44</xdr:row>
      <xdr:rowOff>179296</xdr:rowOff>
    </xdr:from>
    <xdr:to>
      <xdr:col>20</xdr:col>
      <xdr:colOff>309406</xdr:colOff>
      <xdr:row>52</xdr:row>
      <xdr:rowOff>181080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B1CADD3A-5A9D-425C-8E51-BC1D7BAEF8CA}"/>
            </a:ext>
            <a:ext uri="{147F2762-F138-4A5C-976F-8EAC2B608ADB}">
              <a16:predDERef xmlns:a16="http://schemas.microsoft.com/office/drawing/2014/main" pred="{6603EBC3-D650-4247-A7F2-EF6EA4D9A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12991" y="9913846"/>
          <a:ext cx="4266765" cy="1630559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49</xdr:row>
      <xdr:rowOff>142875</xdr:rowOff>
    </xdr:from>
    <xdr:to>
      <xdr:col>17</xdr:col>
      <xdr:colOff>723900</xdr:colOff>
      <xdr:row>52</xdr:row>
      <xdr:rowOff>114300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342DDDBE-4C64-4665-8959-D28F36A46B64}"/>
            </a:ext>
            <a:ext uri="{147F2762-F138-4A5C-976F-8EAC2B608ADB}">
              <a16:predDERef xmlns:a16="http://schemas.microsoft.com/office/drawing/2014/main" pred="{B1CADD3A-5A9D-425C-8E51-BC1D7BAE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78550" y="10963275"/>
          <a:ext cx="5219700" cy="514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103652</xdr:colOff>
      <xdr:row>46</xdr:row>
      <xdr:rowOff>154299</xdr:rowOff>
    </xdr:from>
    <xdr:to>
      <xdr:col>15</xdr:col>
      <xdr:colOff>181533</xdr:colOff>
      <xdr:row>50</xdr:row>
      <xdr:rowOff>45592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D6D00AA6-1529-4E42-97E8-AA76843D04E2}"/>
            </a:ext>
            <a:ext uri="{147F2762-F138-4A5C-976F-8EAC2B608ADB}">
              <a16:predDERef xmlns:a16="http://schemas.microsoft.com/office/drawing/2014/main" pred="{342DDDBE-4C64-4665-8959-D28F36A46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91702" y="10250799"/>
          <a:ext cx="3240181" cy="796168"/>
        </a:xfrm>
        <a:prstGeom prst="rect">
          <a:avLst/>
        </a:prstGeom>
      </xdr:spPr>
    </xdr:pic>
    <xdr:clientData/>
  </xdr:twoCellAnchor>
  <xdr:twoCellAnchor editAs="oneCell">
    <xdr:from>
      <xdr:col>12</xdr:col>
      <xdr:colOff>6302</xdr:colOff>
      <xdr:row>52</xdr:row>
      <xdr:rowOff>265018</xdr:rowOff>
    </xdr:from>
    <xdr:to>
      <xdr:col>20</xdr:col>
      <xdr:colOff>185121</xdr:colOff>
      <xdr:row>66</xdr:row>
      <xdr:rowOff>3362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7F88DC3-DFC8-267D-C59A-96BD4094BE88}"/>
            </a:ext>
            <a:ext uri="{147F2762-F138-4A5C-976F-8EAC2B608ADB}">
              <a16:predDERef xmlns:a16="http://schemas.microsoft.com/office/drawing/2014/main" pred="{D6D00AA6-1529-4E42-97E8-AA76843D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94352" y="11628343"/>
          <a:ext cx="10961119" cy="2452969"/>
        </a:xfrm>
        <a:prstGeom prst="rect">
          <a:avLst/>
        </a:prstGeom>
      </xdr:spPr>
    </xdr:pic>
    <xdr:clientData/>
  </xdr:twoCellAnchor>
  <xdr:twoCellAnchor editAs="oneCell">
    <xdr:from>
      <xdr:col>7</xdr:col>
      <xdr:colOff>709831</xdr:colOff>
      <xdr:row>69</xdr:row>
      <xdr:rowOff>7557</xdr:rowOff>
    </xdr:from>
    <xdr:to>
      <xdr:col>11</xdr:col>
      <xdr:colOff>514355</xdr:colOff>
      <xdr:row>72</xdr:row>
      <xdr:rowOff>257031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392DC1-D770-5ADB-F5E3-032E5976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14860" y="17264616"/>
          <a:ext cx="7173513" cy="1573449"/>
        </a:xfrm>
        <a:prstGeom prst="rect">
          <a:avLst/>
        </a:prstGeom>
      </xdr:spPr>
    </xdr:pic>
    <xdr:clientData/>
  </xdr:twoCellAnchor>
  <xdr:twoCellAnchor editAs="oneCell">
    <xdr:from>
      <xdr:col>7</xdr:col>
      <xdr:colOff>237013</xdr:colOff>
      <xdr:row>82</xdr:row>
      <xdr:rowOff>172536</xdr:rowOff>
    </xdr:from>
    <xdr:to>
      <xdr:col>9</xdr:col>
      <xdr:colOff>618319</xdr:colOff>
      <xdr:row>92</xdr:row>
      <xdr:rowOff>68001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FDD1A9-63EF-50E2-2003-3C91D43C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42042" y="19906095"/>
          <a:ext cx="4058517" cy="1990965"/>
        </a:xfrm>
        <a:prstGeom prst="rect">
          <a:avLst/>
        </a:prstGeom>
      </xdr:spPr>
    </xdr:pic>
    <xdr:clientData/>
  </xdr:twoCellAnchor>
  <xdr:twoCellAnchor editAs="oneCell">
    <xdr:from>
      <xdr:col>7</xdr:col>
      <xdr:colOff>174672</xdr:colOff>
      <xdr:row>92</xdr:row>
      <xdr:rowOff>188187</xdr:rowOff>
    </xdr:from>
    <xdr:to>
      <xdr:col>9</xdr:col>
      <xdr:colOff>475295</xdr:colOff>
      <xdr:row>94</xdr:row>
      <xdr:rowOff>1132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59E3A0-C2A7-0356-509E-F108B2412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79701" y="22017246"/>
          <a:ext cx="3982316" cy="185286"/>
        </a:xfrm>
        <a:prstGeom prst="rect">
          <a:avLst/>
        </a:prstGeom>
      </xdr:spPr>
    </xdr:pic>
    <xdr:clientData/>
  </xdr:twoCellAnchor>
  <xdr:twoCellAnchor editAs="oneCell">
    <xdr:from>
      <xdr:col>24</xdr:col>
      <xdr:colOff>213344</xdr:colOff>
      <xdr:row>5</xdr:row>
      <xdr:rowOff>366762</xdr:rowOff>
    </xdr:from>
    <xdr:to>
      <xdr:col>34</xdr:col>
      <xdr:colOff>595011</xdr:colOff>
      <xdr:row>48</xdr:row>
      <xdr:rowOff>17009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37B5D7-C1DD-EB5E-CAD7-A40F1408C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533835" y="2135691"/>
          <a:ext cx="6504881" cy="9022166"/>
        </a:xfrm>
        <a:prstGeom prst="rect">
          <a:avLst/>
        </a:prstGeom>
      </xdr:spPr>
    </xdr:pic>
    <xdr:clientData/>
  </xdr:twoCellAnchor>
  <xdr:twoCellAnchor editAs="oneCell">
    <xdr:from>
      <xdr:col>12</xdr:col>
      <xdr:colOff>6163</xdr:colOff>
      <xdr:row>34</xdr:row>
      <xdr:rowOff>11204</xdr:rowOff>
    </xdr:from>
    <xdr:to>
      <xdr:col>19</xdr:col>
      <xdr:colOff>937729</xdr:colOff>
      <xdr:row>43</xdr:row>
      <xdr:rowOff>48347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6FAAC80-F999-8EF7-C378-E084C060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369428" y="10029263"/>
          <a:ext cx="9829036" cy="2523168"/>
        </a:xfrm>
        <a:prstGeom prst="rect">
          <a:avLst/>
        </a:prstGeom>
      </xdr:spPr>
    </xdr:pic>
    <xdr:clientData/>
  </xdr:twoCellAnchor>
  <xdr:oneCellAnchor>
    <xdr:from>
      <xdr:col>12</xdr:col>
      <xdr:colOff>289671</xdr:colOff>
      <xdr:row>46</xdr:row>
      <xdr:rowOff>17929</xdr:rowOff>
    </xdr:from>
    <xdr:ext cx="2704908" cy="3465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6D02C1CE-CAC3-0DA9-B21B-4CF21E31FF8F}"/>
                </a:ext>
              </a:extLst>
            </xdr:cNvPr>
            <xdr:cNvSpPr txBox="1"/>
          </xdr:nvSpPr>
          <xdr:spPr>
            <a:xfrm>
              <a:off x="15652936" y="13274488"/>
              <a:ext cx="2704908" cy="3465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𝑁𝑢𝑚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𝑜𝑓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𝐵𝑜𝑙𝑡𝑠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𝑆𝐹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𝑀𝑎𝑥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𝐹𝑜𝑟𝑐𝑒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𝑆h𝑒𝑎𝑟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𝑆𝑡𝑟𝑒𝑔𝑛𝑡h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𝐵𝑜𝑙𝑡</m:t>
                        </m:r>
                      </m:den>
                    </m:f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6D02C1CE-CAC3-0DA9-B21B-4CF21E31FF8F}"/>
                </a:ext>
              </a:extLst>
            </xdr:cNvPr>
            <xdr:cNvSpPr txBox="1"/>
          </xdr:nvSpPr>
          <xdr:spPr>
            <a:xfrm>
              <a:off x="15652936" y="13274488"/>
              <a:ext cx="2704908" cy="3465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𝑁𝑢𝑚 𝑜𝑓 𝐵𝑜𝑙𝑡𝑠=𝑆𝐹 𝑥  (𝑀𝑎𝑥 𝐹𝑜𝑟𝑐𝑒)/(𝑆ℎ𝑒𝑎𝑟 𝑆𝑡𝑟𝑒𝑔𝑛𝑡ℎ 𝐵𝑜𝑙𝑡)  </a:t>
              </a:r>
              <a:endParaRPr lang="en-US" sz="1100"/>
            </a:p>
          </xdr:txBody>
        </xdr:sp>
      </mc:Fallback>
    </mc:AlternateContent>
    <xdr:clientData/>
  </xdr:oneCellAnchor>
  <xdr:twoCellAnchor editAs="oneCell">
    <xdr:from>
      <xdr:col>7</xdr:col>
      <xdr:colOff>134470</xdr:colOff>
      <xdr:row>94</xdr:row>
      <xdr:rowOff>115420</xdr:rowOff>
    </xdr:from>
    <xdr:to>
      <xdr:col>9</xdr:col>
      <xdr:colOff>72782</xdr:colOff>
      <xdr:row>115</xdr:row>
      <xdr:rowOff>29374</xdr:rowOff>
    </xdr:to>
    <xdr:pic>
      <xdr:nvPicPr>
        <xdr:cNvPr id="27" name="Picture 13">
          <a:extLst>
            <a:ext uri="{FF2B5EF4-FFF2-40B4-BE49-F238E27FC236}">
              <a16:creationId xmlns:a16="http://schemas.microsoft.com/office/drawing/2014/main" id="{4A96A71D-3AD9-1890-7465-BD5FC7E511E9}"/>
            </a:ext>
            <a:ext uri="{147F2762-F138-4A5C-976F-8EAC2B608ADB}">
              <a16:predDERef xmlns:a16="http://schemas.microsoft.com/office/drawing/2014/main" pred="{6D02C1CE-CAC3-0DA9-B21B-4CF21E31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811995" y="20308420"/>
          <a:ext cx="3634012" cy="3714429"/>
        </a:xfrm>
        <a:prstGeom prst="rect">
          <a:avLst/>
        </a:prstGeom>
      </xdr:spPr>
    </xdr:pic>
    <xdr:clientData/>
  </xdr:twoCellAnchor>
  <xdr:twoCellAnchor editAs="oneCell">
    <xdr:from>
      <xdr:col>9</xdr:col>
      <xdr:colOff>918882</xdr:colOff>
      <xdr:row>76</xdr:row>
      <xdr:rowOff>63873</xdr:rowOff>
    </xdr:from>
    <xdr:to>
      <xdr:col>10</xdr:col>
      <xdr:colOff>963396</xdr:colOff>
      <xdr:row>85</xdr:row>
      <xdr:rowOff>71717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9D5A818-8116-489D-995B-A2CCC42FB994}"/>
            </a:ext>
            <a:ext uri="{147F2762-F138-4A5C-976F-8EAC2B608ADB}">
              <a16:predDERef xmlns:a16="http://schemas.microsoft.com/office/drawing/2014/main" pred="{4A96A71D-3AD9-1890-7465-BD5FC7E51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292107" y="15951573"/>
          <a:ext cx="2063814" cy="1636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123</xdr:row>
      <xdr:rowOff>104775</xdr:rowOff>
    </xdr:from>
    <xdr:to>
      <xdr:col>3</xdr:col>
      <xdr:colOff>714681</xdr:colOff>
      <xdr:row>134</xdr:row>
      <xdr:rowOff>240</xdr:rowOff>
    </xdr:to>
    <xdr:pic>
      <xdr:nvPicPr>
        <xdr:cNvPr id="23" name="Picture 8">
          <a:extLst>
            <a:ext uri="{FF2B5EF4-FFF2-40B4-BE49-F238E27FC236}">
              <a16:creationId xmlns:a16="http://schemas.microsoft.com/office/drawing/2014/main" id="{3745A727-B459-406B-A22B-F699F6935C1F}"/>
            </a:ext>
            <a:ext uri="{147F2762-F138-4A5C-976F-8EAC2B608ADB}">
              <a16:predDERef xmlns:a16="http://schemas.microsoft.com/office/drawing/2014/main" pred="{C9D5A818-8116-489D-995B-A2CCC42FB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27593925"/>
          <a:ext cx="4077006" cy="1990965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135</xdr:row>
      <xdr:rowOff>19049</xdr:rowOff>
    </xdr:from>
    <xdr:to>
      <xdr:col>2</xdr:col>
      <xdr:colOff>460687</xdr:colOff>
      <xdr:row>137</xdr:row>
      <xdr:rowOff>167333</xdr:rowOff>
    </xdr:to>
    <xdr:pic>
      <xdr:nvPicPr>
        <xdr:cNvPr id="19" name="Picture 17">
          <a:extLst>
            <a:ext uri="{FF2B5EF4-FFF2-40B4-BE49-F238E27FC236}">
              <a16:creationId xmlns:a16="http://schemas.microsoft.com/office/drawing/2014/main" id="{C7608496-BF17-4583-8C38-E5262DB96B7B}"/>
            </a:ext>
            <a:ext uri="{147F2762-F138-4A5C-976F-8EAC2B608ADB}">
              <a16:predDERef xmlns:a16="http://schemas.microsoft.com/office/drawing/2014/main" pred="{3745A727-B459-406B-A22B-F699F6935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43548" y="28351255"/>
          <a:ext cx="573119" cy="52181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1809750</xdr:colOff>
      <xdr:row>130</xdr:row>
      <xdr:rowOff>123825</xdr:rowOff>
    </xdr:from>
    <xdr:to>
      <xdr:col>7</xdr:col>
      <xdr:colOff>1790700</xdr:colOff>
      <xdr:row>138</xdr:row>
      <xdr:rowOff>104775</xdr:rowOff>
    </xdr:to>
    <xdr:pic>
      <xdr:nvPicPr>
        <xdr:cNvPr id="59" name="Picture 14">
          <a:extLst>
            <a:ext uri="{FF2B5EF4-FFF2-40B4-BE49-F238E27FC236}">
              <a16:creationId xmlns:a16="http://schemas.microsoft.com/office/drawing/2014/main" id="{A00D48E4-C433-4617-A4CE-B6ADF7507608}"/>
            </a:ext>
            <a:ext uri="{147F2762-F138-4A5C-976F-8EAC2B608ADB}">
              <a16:predDERef xmlns:a16="http://schemas.microsoft.com/office/drawing/2014/main" pred="{C7608496-BF17-4583-8C38-E5262DB96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58475" y="28946475"/>
          <a:ext cx="1809750" cy="1504950"/>
        </a:xfrm>
        <a:prstGeom prst="rect">
          <a:avLst/>
        </a:prstGeom>
      </xdr:spPr>
    </xdr:pic>
    <xdr:clientData/>
  </xdr:twoCellAnchor>
  <xdr:twoCellAnchor editAs="oneCell">
    <xdr:from>
      <xdr:col>9</xdr:col>
      <xdr:colOff>422203</xdr:colOff>
      <xdr:row>52</xdr:row>
      <xdr:rowOff>140987</xdr:rowOff>
    </xdr:from>
    <xdr:to>
      <xdr:col>9</xdr:col>
      <xdr:colOff>424723</xdr:colOff>
      <xdr:row>52</xdr:row>
      <xdr:rowOff>147467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65F3F5E5-0434-4A8D-CE82-468C0F3F5505}"/>
                </a:ext>
              </a:extLst>
            </xdr14:cNvPr>
            <xdr14:cNvContentPartPr/>
          </xdr14:nvContentPartPr>
          <xdr14:nvPr macro=""/>
          <xdr14:xfrm>
            <a:off x="15794088" y="11592969"/>
            <a:ext cx="2520" cy="648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65F3F5E5-0434-4A8D-CE82-468C0F3F5505}"/>
                </a:ext>
              </a:extLst>
            </xdr:cNvPr>
            <xdr:cNvPicPr/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15785088" y="11584329"/>
              <a:ext cx="20160" cy="241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65809</xdr:colOff>
      <xdr:row>36</xdr:row>
      <xdr:rowOff>106507</xdr:rowOff>
    </xdr:from>
    <xdr:to>
      <xdr:col>12</xdr:col>
      <xdr:colOff>133974</xdr:colOff>
      <xdr:row>38</xdr:row>
      <xdr:rowOff>163825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72B842-B357-6D7E-76FD-CBF6130C8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9445" y="11917507"/>
          <a:ext cx="4182926" cy="1200318"/>
        </a:xfrm>
        <a:prstGeom prst="rect">
          <a:avLst/>
        </a:prstGeom>
      </xdr:spPr>
    </xdr:pic>
    <xdr:clientData/>
  </xdr:twoCellAnchor>
  <xdr:twoCellAnchor editAs="oneCell">
    <xdr:from>
      <xdr:col>6</xdr:col>
      <xdr:colOff>56284</xdr:colOff>
      <xdr:row>21</xdr:row>
      <xdr:rowOff>11256</xdr:rowOff>
    </xdr:from>
    <xdr:to>
      <xdr:col>11</xdr:col>
      <xdr:colOff>180290</xdr:colOff>
      <xdr:row>27</xdr:row>
      <xdr:rowOff>1731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02CD06-EA98-6BC4-6DA7-331965F23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9920" y="8964756"/>
          <a:ext cx="3632630" cy="2657475"/>
        </a:xfrm>
        <a:prstGeom prst="rect">
          <a:avLst/>
        </a:prstGeom>
      </xdr:spPr>
    </xdr:pic>
    <xdr:clientData/>
  </xdr:twoCellAnchor>
  <xdr:twoCellAnchor editAs="oneCell">
    <xdr:from>
      <xdr:col>2</xdr:col>
      <xdr:colOff>1452129</xdr:colOff>
      <xdr:row>20</xdr:row>
      <xdr:rowOff>154132</xdr:rowOff>
    </xdr:from>
    <xdr:to>
      <xdr:col>5</xdr:col>
      <xdr:colOff>1218091</xdr:colOff>
      <xdr:row>28</xdr:row>
      <xdr:rowOff>316505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B848B4-582E-7B56-4F5E-EF56AB0D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4402" y="8917132"/>
          <a:ext cx="4175132" cy="3210373"/>
        </a:xfrm>
        <a:prstGeom prst="rect">
          <a:avLst/>
        </a:prstGeom>
      </xdr:spPr>
    </xdr:pic>
    <xdr:clientData/>
  </xdr:twoCellAnchor>
  <xdr:twoCellAnchor editAs="oneCell">
    <xdr:from>
      <xdr:col>19</xdr:col>
      <xdr:colOff>57149</xdr:colOff>
      <xdr:row>47</xdr:row>
      <xdr:rowOff>67517</xdr:rowOff>
    </xdr:from>
    <xdr:to>
      <xdr:col>26</xdr:col>
      <xdr:colOff>433432</xdr:colOff>
      <xdr:row>75</xdr:row>
      <xdr:rowOff>90222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4601249-1C89-1C1B-BCC1-C10F7E66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35299" y="11497517"/>
          <a:ext cx="9266421" cy="5356705"/>
        </a:xfrm>
        <a:prstGeom prst="rect">
          <a:avLst/>
        </a:prstGeom>
      </xdr:spPr>
    </xdr:pic>
    <xdr:clientData/>
  </xdr:twoCellAnchor>
  <xdr:twoCellAnchor editAs="oneCell">
    <xdr:from>
      <xdr:col>20</xdr:col>
      <xdr:colOff>1129553</xdr:colOff>
      <xdr:row>1</xdr:row>
      <xdr:rowOff>103147</xdr:rowOff>
    </xdr:from>
    <xdr:to>
      <xdr:col>21</xdr:col>
      <xdr:colOff>1857375</xdr:colOff>
      <xdr:row>5</xdr:row>
      <xdr:rowOff>48459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7C168E8-0917-3AFE-80D9-EF0C814A7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417303" y="293647"/>
          <a:ext cx="3099547" cy="1088312"/>
        </a:xfrm>
        <a:prstGeom prst="rect">
          <a:avLst/>
        </a:prstGeom>
      </xdr:spPr>
    </xdr:pic>
    <xdr:clientData/>
  </xdr:twoCellAnchor>
  <xdr:twoCellAnchor editAs="oneCell">
    <xdr:from>
      <xdr:col>40</xdr:col>
      <xdr:colOff>258818</xdr:colOff>
      <xdr:row>15</xdr:row>
      <xdr:rowOff>104775</xdr:rowOff>
    </xdr:from>
    <xdr:to>
      <xdr:col>47</xdr:col>
      <xdr:colOff>205641</xdr:colOff>
      <xdr:row>25</xdr:row>
      <xdr:rowOff>20154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79287EA-8695-1803-ECE8-3AE8AD89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263443" y="3533775"/>
          <a:ext cx="4214025" cy="3725379"/>
        </a:xfrm>
        <a:prstGeom prst="rect">
          <a:avLst/>
        </a:prstGeom>
      </xdr:spPr>
    </xdr:pic>
    <xdr:clientData/>
  </xdr:twoCellAnchor>
  <xdr:twoCellAnchor editAs="oneCell">
    <xdr:from>
      <xdr:col>40</xdr:col>
      <xdr:colOff>138392</xdr:colOff>
      <xdr:row>3</xdr:row>
      <xdr:rowOff>309841</xdr:rowOff>
    </xdr:from>
    <xdr:to>
      <xdr:col>47</xdr:col>
      <xdr:colOff>351248</xdr:colOff>
      <xdr:row>13</xdr:row>
      <xdr:rowOff>180174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44FEBA9-C2BB-8485-907E-3B3C6FD2D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43017" y="881341"/>
          <a:ext cx="4480058" cy="2537333"/>
        </a:xfrm>
        <a:prstGeom prst="rect">
          <a:avLst/>
        </a:prstGeom>
      </xdr:spPr>
    </xdr:pic>
    <xdr:clientData/>
  </xdr:twoCellAnchor>
  <xdr:twoCellAnchor editAs="oneCell">
    <xdr:from>
      <xdr:col>47</xdr:col>
      <xdr:colOff>378521</xdr:colOff>
      <xdr:row>3</xdr:row>
      <xdr:rowOff>361949</xdr:rowOff>
    </xdr:from>
    <xdr:to>
      <xdr:col>57</xdr:col>
      <xdr:colOff>185804</xdr:colOff>
      <xdr:row>19</xdr:row>
      <xdr:rowOff>142874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155EB-D721-42CC-CDE3-D9956A585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650346" y="933449"/>
          <a:ext cx="5903283" cy="435292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62</xdr:row>
      <xdr:rowOff>19050</xdr:rowOff>
    </xdr:from>
    <xdr:to>
      <xdr:col>28</xdr:col>
      <xdr:colOff>144393</xdr:colOff>
      <xdr:row>85</xdr:row>
      <xdr:rowOff>45169</xdr:rowOff>
    </xdr:to>
    <xdr:pic>
      <xdr:nvPicPr>
        <xdr:cNvPr id="13" name="Picture 7">
          <a:extLst>
            <a:ext uri="{FF2B5EF4-FFF2-40B4-BE49-F238E27FC236}">
              <a16:creationId xmlns:a16="http://schemas.microsoft.com/office/drawing/2014/main" id="{A296852C-C2E1-4A09-8CE3-08ED3CF2F3EE}"/>
            </a:ext>
            <a:ext uri="{147F2762-F138-4A5C-976F-8EAC2B608ADB}">
              <a16:predDERef xmlns:a16="http://schemas.microsoft.com/office/drawing/2014/main" pred="{C18C2FB0-F102-4DFF-A68D-A1AA4CE5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3175" y="15068550"/>
          <a:ext cx="6042854" cy="4407619"/>
        </a:xfrm>
        <a:prstGeom prst="rect">
          <a:avLst/>
        </a:prstGeom>
      </xdr:spPr>
    </xdr:pic>
    <xdr:clientData/>
  </xdr:twoCellAnchor>
  <xdr:twoCellAnchor editAs="oneCell">
    <xdr:from>
      <xdr:col>24</xdr:col>
      <xdr:colOff>400050</xdr:colOff>
      <xdr:row>26</xdr:row>
      <xdr:rowOff>180975</xdr:rowOff>
    </xdr:from>
    <xdr:to>
      <xdr:col>29</xdr:col>
      <xdr:colOff>102233</xdr:colOff>
      <xdr:row>36</xdr:row>
      <xdr:rowOff>105243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546A8CA-6175-7A24-2898-E79CC9AEC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698075" y="7038975"/>
          <a:ext cx="5525271" cy="3353268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31</xdr:row>
      <xdr:rowOff>28575</xdr:rowOff>
    </xdr:from>
    <xdr:to>
      <xdr:col>30</xdr:col>
      <xdr:colOff>1246734</xdr:colOff>
      <xdr:row>37</xdr:row>
      <xdr:rowOff>400341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576D9FD-1856-10A9-5AF9-422C4B248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784300" y="8410575"/>
          <a:ext cx="4410691" cy="20862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193301</xdr:colOff>
      <xdr:row>20</xdr:row>
      <xdr:rowOff>62753</xdr:rowOff>
    </xdr:from>
    <xdr:to>
      <xdr:col>9</xdr:col>
      <xdr:colOff>737347</xdr:colOff>
      <xdr:row>26</xdr:row>
      <xdr:rowOff>177053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C20DC858-DE9B-4F56-AAD9-E319928FCBD2}"/>
            </a:ext>
            <a:ext uri="{147F2762-F138-4A5C-976F-8EAC2B608ADB}">
              <a16:predDERef xmlns:a16="http://schemas.microsoft.com/office/drawing/2014/main" pred="{CCB440FF-5361-4012-B4E8-CA32579DC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5213" y="4343400"/>
          <a:ext cx="2740399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661147</xdr:colOff>
      <xdr:row>27</xdr:row>
      <xdr:rowOff>0</xdr:rowOff>
    </xdr:from>
    <xdr:to>
      <xdr:col>9</xdr:col>
      <xdr:colOff>1032062</xdr:colOff>
      <xdr:row>28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9C602E-8C1A-442D-8118-C66A3BAC2D4E}"/>
            </a:ext>
            <a:ext uri="{147F2762-F138-4A5C-976F-8EAC2B608ADB}">
              <a16:predDERef xmlns:a16="http://schemas.microsoft.com/office/drawing/2014/main" pred="{C20DC858-DE9B-4F56-AAD9-E319928F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3059" y="5614147"/>
          <a:ext cx="2567268" cy="314325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10</xdr:row>
      <xdr:rowOff>152400</xdr:rowOff>
    </xdr:from>
    <xdr:to>
      <xdr:col>3</xdr:col>
      <xdr:colOff>1381125</xdr:colOff>
      <xdr:row>13</xdr:row>
      <xdr:rowOff>95250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BDAE07DE-78A4-4FFA-A19B-1118C8999844}"/>
            </a:ext>
            <a:ext uri="{147F2762-F138-4A5C-976F-8EAC2B608ADB}">
              <a16:predDERef xmlns:a16="http://schemas.microsoft.com/office/drawing/2014/main" pred="{299C602E-8C1A-442D-8118-C66A3BAC2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4175" y="2438400"/>
          <a:ext cx="1885950" cy="514350"/>
        </a:xfrm>
        <a:prstGeom prst="rect">
          <a:avLst/>
        </a:prstGeom>
      </xdr:spPr>
    </xdr:pic>
    <xdr:clientData/>
  </xdr:twoCellAnchor>
  <xdr:twoCellAnchor editAs="oneCell">
    <xdr:from>
      <xdr:col>10</xdr:col>
      <xdr:colOff>874058</xdr:colOff>
      <xdr:row>19</xdr:row>
      <xdr:rowOff>179294</xdr:rowOff>
    </xdr:from>
    <xdr:to>
      <xdr:col>20</xdr:col>
      <xdr:colOff>562331</xdr:colOff>
      <xdr:row>30</xdr:row>
      <xdr:rowOff>36419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F6B156-1331-465F-B6CD-A551C1828F27}"/>
            </a:ext>
            <a:ext uri="{147F2762-F138-4A5C-976F-8EAC2B608ADB}">
              <a16:predDERef xmlns:a16="http://schemas.microsoft.com/office/drawing/2014/main" pred="{BDAE07DE-78A4-4FFA-A19B-1118C899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54970" y="4269441"/>
          <a:ext cx="8857689" cy="1952625"/>
        </a:xfrm>
        <a:prstGeom prst="rect">
          <a:avLst/>
        </a:prstGeom>
      </xdr:spPr>
    </xdr:pic>
    <xdr:clientData/>
  </xdr:twoCellAnchor>
  <xdr:oneCellAnchor>
    <xdr:from>
      <xdr:col>7</xdr:col>
      <xdr:colOff>57150</xdr:colOff>
      <xdr:row>35</xdr:row>
      <xdr:rowOff>123825</xdr:rowOff>
    </xdr:from>
    <xdr:ext cx="4452437" cy="3514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A1BA2541-58B3-ACC9-D0A2-6FF399FAF19D}"/>
                </a:ext>
                <a:ext uri="{147F2762-F138-4A5C-976F-8EAC2B608ADB}">
                  <a16:predDERef xmlns:a16="http://schemas.microsoft.com/office/drawing/2014/main" pred="{17F6B156-1331-465F-B6CD-A551C1828F27}"/>
                </a:ext>
              </a:extLst>
            </xdr:cNvPr>
            <xdr:cNvSpPr txBox="1"/>
          </xdr:nvSpPr>
          <xdr:spPr>
            <a:xfrm>
              <a:off x="7353300" y="7439025"/>
              <a:ext cx="4452437" cy="351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indent="0"/>
              <a:r>
                <a:rPr lang="ar-AE" sz="1100" b="0" i="1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𝑆ℎ𝑒𝑎𝑟 𝑆𝑡𝑟𝑒𝑠𝑠=﷐𝑆𝑛𝑎𝑡𝑐ℎ 𝐹𝑜𝑟𝑐𝑒﷮(𝑇ℎ𝑖𝑐𝑘𝑛𝑒𝑠𝑠 ∗(﷐2 ∗𝑈𝑏𝑜𝑙𝑡 𝑊𝑖𝑑𝑡ℎ﷯+﷐2∗𝑈𝑏𝑜𝑙𝑡 𝐿𝑒𝑛𝑔𝑡ℎ﷯)﷯</a:t>
              </a:r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A1BA2541-58B3-ACC9-D0A2-6FF399FAF19D}"/>
                </a:ext>
              </a:extLst>
            </xdr:cNvPr>
            <xdr:cNvSpPr txBox="1"/>
          </xdr:nvSpPr>
          <xdr:spPr>
            <a:xfrm>
              <a:off x="7353300" y="7439025"/>
              <a:ext cx="4452437" cy="351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𝑆ℎ𝑒𝑎𝑟 𝑆𝑡𝑟𝑒𝑠𝑠=(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𝑆𝑛𝑎𝑡𝑐ℎ 𝐹𝑜𝑟𝑐𝑒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1100" b="0" i="0">
                  <a:latin typeface="Cambria Math" panose="02040503050406030204" pitchFamily="18" charset="0"/>
                </a:rPr>
                <a:t>(𝑇ℎ𝑖𝑐𝑘𝑛𝑒𝑠𝑠 ∗((2 ∗𝑈𝑏𝑜𝑙𝑡 𝑊𝑖𝑑𝑡ℎ)+(2∗𝑈𝑏𝑜𝑙𝑡 𝐿𝑒𝑛𝑔𝑡ℎ)))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342900</xdr:colOff>
      <xdr:row>35</xdr:row>
      <xdr:rowOff>142875</xdr:rowOff>
    </xdr:from>
    <xdr:ext cx="1985159" cy="320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6BCC46E-0D69-E7C3-D207-A5C509C19470}"/>
                </a:ext>
                <a:ext uri="{147F2762-F138-4A5C-976F-8EAC2B608ADB}">
                  <a16:predDERef xmlns:a16="http://schemas.microsoft.com/office/drawing/2014/main" pred="{A1BA2541-58B3-ACC9-D0A2-6FF399FAF19D}"/>
                </a:ext>
              </a:extLst>
            </xdr:cNvPr>
            <xdr:cNvSpPr txBox="1"/>
          </xdr:nvSpPr>
          <xdr:spPr>
            <a:xfrm>
              <a:off x="12144375" y="7458075"/>
              <a:ext cx="1985159" cy="320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indent="0"/>
              <a:r>
                <a:rPr lang="ar-AE" sz="1100" b="0" i="1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𝑆𝐹= ﷐𝑈𝑙𝑡𝑖𝑚𝑎𝑡𝑒 𝑆ℎ𝑒𝑎𝑟 𝑆𝑡𝑟𝑒𝑛𝑔𝑡ℎ﷮𝑆ℎ𝑒𝑎𝑟 𝑆𝑡𝑟𝑒𝑠𝑠﷯</a:t>
              </a:r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6BCC46E-0D69-E7C3-D207-A5C509C19470}"/>
                </a:ext>
              </a:extLst>
            </xdr:cNvPr>
            <xdr:cNvSpPr txBox="1"/>
          </xdr:nvSpPr>
          <xdr:spPr>
            <a:xfrm>
              <a:off x="12144375" y="7458075"/>
              <a:ext cx="1985159" cy="320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𝑆𝐹=  (𝑈𝑙𝑡𝑖𝑚𝑎𝑡𝑒 𝑆ℎ𝑒𝑎𝑟 𝑆𝑡𝑟𝑒𝑛𝑔𝑡ℎ)/(𝑆ℎ𝑒𝑎𝑟 𝑆𝑡𝑟𝑒𝑠𝑠)</a:t>
              </a:r>
              <a:endParaRPr lang="en-US" sz="1100"/>
            </a:p>
          </xdr:txBody>
        </xdr:sp>
      </mc:Fallback>
    </mc:AlternateContent>
    <xdr:clientData/>
  </xdr:oneCellAnchor>
  <xdr:twoCellAnchor editAs="oneCell">
    <xdr:from>
      <xdr:col>17</xdr:col>
      <xdr:colOff>272761</xdr:colOff>
      <xdr:row>26</xdr:row>
      <xdr:rowOff>69273</xdr:rowOff>
    </xdr:from>
    <xdr:to>
      <xdr:col>23</xdr:col>
      <xdr:colOff>461697</xdr:colOff>
      <xdr:row>46</xdr:row>
      <xdr:rowOff>79664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603CA6DD-2707-A88F-98B4-AEAFD29046F7}"/>
            </a:ext>
            <a:ext uri="{147F2762-F138-4A5C-976F-8EAC2B608ADB}">
              <a16:predDERef xmlns:a16="http://schemas.microsoft.com/office/drawing/2014/main" pred="{36BCC46E-0D69-E7C3-D207-A5C509C19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833397" y="5489864"/>
          <a:ext cx="4357255" cy="4582391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46</xdr:row>
      <xdr:rowOff>133350</xdr:rowOff>
    </xdr:from>
    <xdr:to>
      <xdr:col>11</xdr:col>
      <xdr:colOff>1076463</xdr:colOff>
      <xdr:row>50</xdr:row>
      <xdr:rowOff>114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731986F-4158-5416-3614-5E7BD101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87200" y="9925050"/>
          <a:ext cx="990738" cy="819264"/>
        </a:xfrm>
        <a:prstGeom prst="rect">
          <a:avLst/>
        </a:prstGeom>
      </xdr:spPr>
    </xdr:pic>
    <xdr:clientData/>
  </xdr:twoCellAnchor>
  <xdr:twoCellAnchor editAs="oneCell">
    <xdr:from>
      <xdr:col>16</xdr:col>
      <xdr:colOff>598482</xdr:colOff>
      <xdr:row>60</xdr:row>
      <xdr:rowOff>101414</xdr:rowOff>
    </xdr:from>
    <xdr:to>
      <xdr:col>33</xdr:col>
      <xdr:colOff>627340</xdr:colOff>
      <xdr:row>72</xdr:row>
      <xdr:rowOff>11208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BF5954EC-1AF5-4887-9105-4AAEC4B1632D}"/>
            </a:ext>
            <a:ext uri="{147F2762-F138-4A5C-976F-8EAC2B608ADB}">
              <a16:predDERef xmlns:a16="http://schemas.microsoft.com/office/drawing/2014/main" pred="{D6D00AA6-1529-4E42-97E8-AA76843D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52982" y="13332505"/>
          <a:ext cx="10888791" cy="2576794"/>
        </a:xfrm>
        <a:prstGeom prst="rect">
          <a:avLst/>
        </a:prstGeom>
      </xdr:spPr>
    </xdr:pic>
    <xdr:clientData/>
  </xdr:twoCellAnchor>
  <xdr:twoCellAnchor editAs="oneCell">
    <xdr:from>
      <xdr:col>16</xdr:col>
      <xdr:colOff>588818</xdr:colOff>
      <xdr:row>50</xdr:row>
      <xdr:rowOff>0</xdr:rowOff>
    </xdr:from>
    <xdr:to>
      <xdr:col>32</xdr:col>
      <xdr:colOff>109148</xdr:colOff>
      <xdr:row>61</xdr:row>
      <xdr:rowOff>46668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84E4CC5-04DA-4A35-9EE1-151190D4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43318" y="10754591"/>
          <a:ext cx="9773618" cy="2523168"/>
        </a:xfrm>
        <a:prstGeom prst="rect">
          <a:avLst/>
        </a:prstGeom>
      </xdr:spPr>
    </xdr:pic>
    <xdr:clientData/>
  </xdr:twoCellAnchor>
  <xdr:twoCellAnchor editAs="oneCell">
    <xdr:from>
      <xdr:col>18</xdr:col>
      <xdr:colOff>210111</xdr:colOff>
      <xdr:row>76</xdr:row>
      <xdr:rowOff>24653</xdr:rowOff>
    </xdr:from>
    <xdr:to>
      <xdr:col>28</xdr:col>
      <xdr:colOff>254935</xdr:colOff>
      <xdr:row>96</xdr:row>
      <xdr:rowOff>50772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C98505-9DF6-1E9B-71D5-06CB0CC5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54140" y="16687800"/>
          <a:ext cx="6096000" cy="4407619"/>
        </a:xfrm>
        <a:prstGeom prst="rect">
          <a:avLst/>
        </a:prstGeom>
      </xdr:spPr>
    </xdr:pic>
    <xdr:clientData/>
  </xdr:twoCellAnchor>
  <xdr:twoCellAnchor editAs="oneCell">
    <xdr:from>
      <xdr:col>13</xdr:col>
      <xdr:colOff>268381</xdr:colOff>
      <xdr:row>80</xdr:row>
      <xdr:rowOff>131109</xdr:rowOff>
    </xdr:from>
    <xdr:to>
      <xdr:col>17</xdr:col>
      <xdr:colOff>417888</xdr:colOff>
      <xdr:row>86</xdr:row>
      <xdr:rowOff>83705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96523FE-00A3-9F3F-498F-47D10AB6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331763" y="18127756"/>
          <a:ext cx="3849153" cy="10955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159329</xdr:colOff>
      <xdr:row>1</xdr:row>
      <xdr:rowOff>183216</xdr:rowOff>
    </xdr:from>
    <xdr:to>
      <xdr:col>24</xdr:col>
      <xdr:colOff>433820</xdr:colOff>
      <xdr:row>11</xdr:row>
      <xdr:rowOff>281352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D30B5BBB-18BE-4687-B86F-9E883773D1CD}"/>
            </a:ext>
            <a:ext uri="{147F2762-F138-4A5C-976F-8EAC2B608ADB}">
              <a16:predDERef xmlns:a16="http://schemas.microsoft.com/office/drawing/2014/main" pred="{D5DC6489-9F9B-DBE7-CA07-6C0681C9A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5804" y="373716"/>
          <a:ext cx="4541692" cy="2606386"/>
        </a:xfrm>
        <a:prstGeom prst="rect">
          <a:avLst/>
        </a:prstGeom>
      </xdr:spPr>
    </xdr:pic>
    <xdr:clientData/>
  </xdr:twoCellAnchor>
  <xdr:twoCellAnchor editAs="oneCell">
    <xdr:from>
      <xdr:col>10</xdr:col>
      <xdr:colOff>1028700</xdr:colOff>
      <xdr:row>2</xdr:row>
      <xdr:rowOff>333375</xdr:rowOff>
    </xdr:from>
    <xdr:to>
      <xdr:col>13</xdr:col>
      <xdr:colOff>389081</xdr:colOff>
      <xdr:row>14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5FFA07-8786-4402-8079-1A86ABA40376}"/>
            </a:ext>
            <a:ext uri="{147F2762-F138-4A5C-976F-8EAC2B608ADB}">
              <a16:predDERef xmlns:a16="http://schemas.microsoft.com/office/drawing/2014/main" pred="{D30B5BBB-18BE-4687-B86F-9E883773D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25275" y="714375"/>
          <a:ext cx="2790825" cy="2809875"/>
        </a:xfrm>
        <a:prstGeom prst="rect">
          <a:avLst/>
        </a:prstGeom>
      </xdr:spPr>
    </xdr:pic>
    <xdr:clientData/>
  </xdr:twoCellAnchor>
  <xdr:twoCellAnchor editAs="oneCell">
    <xdr:from>
      <xdr:col>22</xdr:col>
      <xdr:colOff>582757</xdr:colOff>
      <xdr:row>29</xdr:row>
      <xdr:rowOff>56037</xdr:rowOff>
    </xdr:from>
    <xdr:to>
      <xdr:col>30</xdr:col>
      <xdr:colOff>302740</xdr:colOff>
      <xdr:row>44</xdr:row>
      <xdr:rowOff>184851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id="{C959509F-A17B-46DC-9775-1364A275286E}"/>
            </a:ext>
            <a:ext uri="{147F2762-F138-4A5C-976F-8EAC2B608ADB}">
              <a16:predDERef xmlns:a16="http://schemas.microsoft.com/office/drawing/2014/main" pred="{F85FFA07-8786-4402-8079-1A86ABA4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41712" y="6758173"/>
          <a:ext cx="4562723" cy="2979964"/>
        </a:xfrm>
        <a:prstGeom prst="rect">
          <a:avLst/>
        </a:prstGeom>
      </xdr:spPr>
    </xdr:pic>
    <xdr:clientData/>
  </xdr:twoCellAnchor>
  <xdr:twoCellAnchor editAs="oneCell">
    <xdr:from>
      <xdr:col>32</xdr:col>
      <xdr:colOff>27585</xdr:colOff>
      <xdr:row>0</xdr:row>
      <xdr:rowOff>0</xdr:rowOff>
    </xdr:from>
    <xdr:to>
      <xdr:col>53</xdr:col>
      <xdr:colOff>168994</xdr:colOff>
      <xdr:row>66</xdr:row>
      <xdr:rowOff>136814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B58A79B2-E30C-4C9B-BCEA-204A059BADDE}"/>
            </a:ext>
            <a:ext uri="{147F2762-F138-4A5C-976F-8EAC2B608ADB}">
              <a16:predDERef xmlns:a16="http://schemas.microsoft.com/office/drawing/2014/main" pred="{C959509F-A17B-46DC-9775-1364A275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47903" y="0"/>
          <a:ext cx="12863921" cy="14287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138792</xdr:colOff>
      <xdr:row>20</xdr:row>
      <xdr:rowOff>83003</xdr:rowOff>
    </xdr:from>
    <xdr:ext cx="4452437" cy="3514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3">
              <a:extLst>
                <a:ext uri="{FF2B5EF4-FFF2-40B4-BE49-F238E27FC236}">
                  <a16:creationId xmlns:a16="http://schemas.microsoft.com/office/drawing/2014/main" id="{DCD64886-EDF8-4885-84D8-7D145E8179DD}"/>
                </a:ext>
                <a:ext uri="{147F2762-F138-4A5C-976F-8EAC2B608ADB}">
                  <a16:predDERef xmlns:a16="http://schemas.microsoft.com/office/drawing/2014/main" pred="{E61BF373-49B5-41FB-A64E-2C340612ED7B}"/>
                </a:ext>
              </a:extLst>
            </xdr:cNvPr>
            <xdr:cNvSpPr txBox="1"/>
          </xdr:nvSpPr>
          <xdr:spPr>
            <a:xfrm>
              <a:off x="16494578" y="7553324"/>
              <a:ext cx="4452437" cy="351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𝑆h𝑒𝑎𝑟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𝑆𝑡𝑟𝑒𝑠𝑠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𝑆𝑛𝑎𝑡𝑐h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𝐹𝑜𝑟𝑐𝑒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𝑇h𝑖𝑐𝑘𝑛𝑒𝑠𝑠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 ∗(</m:t>
                        </m:r>
                        <m:d>
                          <m:d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2 ∗</m:t>
                            </m:r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𝑈𝑏𝑜𝑙𝑡</m:t>
                            </m:r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𝑊𝑖𝑑𝑡h</m:t>
                            </m:r>
                          </m:e>
                        </m:d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+</m:t>
                        </m:r>
                        <m:d>
                          <m:d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2∗</m:t>
                            </m:r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𝑈𝑏𝑜𝑙𝑡</m:t>
                            </m:r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𝐿𝑒𝑛𝑔𝑡h</m:t>
                            </m:r>
                          </m:e>
                        </m:d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3">
              <a:extLst>
                <a:ext uri="{FF2B5EF4-FFF2-40B4-BE49-F238E27FC236}">
                  <a16:creationId xmlns:a16="http://schemas.microsoft.com/office/drawing/2014/main" id="{DCD64886-EDF8-4885-84D8-7D145E8179DD}"/>
                </a:ext>
                <a:ext uri="{147F2762-F138-4A5C-976F-8EAC2B608ADB}">
                  <a16:predDERef xmlns:a16="http://schemas.microsoft.com/office/drawing/2014/main" pred="{E61BF373-49B5-41FB-A64E-2C340612ED7B}"/>
                </a:ext>
              </a:extLst>
            </xdr:cNvPr>
            <xdr:cNvSpPr txBox="1"/>
          </xdr:nvSpPr>
          <xdr:spPr>
            <a:xfrm>
              <a:off x="16494578" y="7553324"/>
              <a:ext cx="4452437" cy="351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𝑆ℎ𝑒𝑎𝑟 𝑆𝑡𝑟𝑒𝑠𝑠=(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𝑆𝑛𝑎𝑡𝑐ℎ 𝐹𝑜𝑟𝑐𝑒)/(</a:t>
              </a:r>
              <a:r>
                <a:rPr lang="en-US" sz="1100" b="0" i="0">
                  <a:latin typeface="Cambria Math" panose="02040503050406030204" pitchFamily="18" charset="0"/>
                </a:rPr>
                <a:t>(𝑇ℎ𝑖𝑐𝑘𝑛𝑒𝑠𝑠 ∗((2 ∗𝑈𝑏𝑜𝑙𝑡 𝑊𝑖𝑑𝑡ℎ)+(2∗𝑈𝑏𝑜𝑙𝑡 𝐿𝑒𝑛𝑔𝑡ℎ)))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18</xdr:col>
      <xdr:colOff>397328</xdr:colOff>
      <xdr:row>20</xdr:row>
      <xdr:rowOff>115661</xdr:rowOff>
    </xdr:from>
    <xdr:ext cx="1985159" cy="320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1CAA4CC0-EE2D-427E-B074-23459B30B10D}"/>
                </a:ext>
                <a:ext uri="{147F2762-F138-4A5C-976F-8EAC2B608ADB}">
                  <a16:predDERef xmlns:a16="http://schemas.microsoft.com/office/drawing/2014/main" pred="{DCD64886-EDF8-4885-84D8-7D145E8179DD}"/>
                </a:ext>
              </a:extLst>
            </xdr:cNvPr>
            <xdr:cNvSpPr txBox="1"/>
          </xdr:nvSpPr>
          <xdr:spPr>
            <a:xfrm>
              <a:off x="21175435" y="7585982"/>
              <a:ext cx="1985159" cy="320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𝑆𝐹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𝑈𝑙𝑡𝑖𝑚𝑎𝑡𝑒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𝑆h𝑒𝑎𝑟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𝑆𝑡𝑟𝑒𝑛𝑔𝑡h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𝑆h𝑒𝑎𝑟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𝑆𝑡𝑟𝑒𝑠𝑠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1CAA4CC0-EE2D-427E-B074-23459B30B10D}"/>
                </a:ext>
                <a:ext uri="{147F2762-F138-4A5C-976F-8EAC2B608ADB}">
                  <a16:predDERef xmlns:a16="http://schemas.microsoft.com/office/drawing/2014/main" pred="{DCD64886-EDF8-4885-84D8-7D145E8179DD}"/>
                </a:ext>
              </a:extLst>
            </xdr:cNvPr>
            <xdr:cNvSpPr txBox="1"/>
          </xdr:nvSpPr>
          <xdr:spPr>
            <a:xfrm>
              <a:off x="21175435" y="7585982"/>
              <a:ext cx="1985159" cy="320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𝑆𝐹=  (𝑈𝑙𝑡𝑖𝑚𝑎𝑡𝑒 𝑆ℎ𝑒𝑎𝑟 𝑆𝑡𝑟𝑒𝑛𝑔𝑡ℎ)/(𝑆ℎ𝑒𝑎𝑟 𝑆𝑡𝑟𝑒𝑠𝑠)</a:t>
              </a:r>
              <a:endParaRPr lang="en-US" sz="1100"/>
            </a:p>
          </xdr:txBody>
        </xdr:sp>
      </mc:Fallback>
    </mc:AlternateContent>
    <xdr:clientData/>
  </xdr:oneCellAnchor>
  <xdr:twoCellAnchor editAs="oneCell">
    <xdr:from>
      <xdr:col>13</xdr:col>
      <xdr:colOff>221291</xdr:colOff>
      <xdr:row>5</xdr:row>
      <xdr:rowOff>96488</xdr:rowOff>
    </xdr:from>
    <xdr:to>
      <xdr:col>15</xdr:col>
      <xdr:colOff>719075</xdr:colOff>
      <xdr:row>16</xdr:row>
      <xdr:rowOff>117023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AE4E909-3549-47AF-A2FA-6D901578147C}"/>
            </a:ext>
            <a:ext uri="{147F2762-F138-4A5C-976F-8EAC2B608ADB}">
              <a16:predDERef xmlns:a16="http://schemas.microsoft.com/office/drawing/2014/main" pred="{1CAA4CC0-EE2D-427E-B074-23459B30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37791" y="3756809"/>
          <a:ext cx="2873591" cy="299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781050</xdr:colOff>
      <xdr:row>15</xdr:row>
      <xdr:rowOff>57150</xdr:rowOff>
    </xdr:from>
    <xdr:to>
      <xdr:col>7</xdr:col>
      <xdr:colOff>47763</xdr:colOff>
      <xdr:row>19</xdr:row>
      <xdr:rowOff>114414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3181EDB0-E960-46C5-BE1E-C8DF0A881285}"/>
            </a:ext>
            <a:ext uri="{147F2762-F138-4A5C-976F-8EAC2B608ADB}">
              <a16:predDERef xmlns:a16="http://schemas.microsoft.com/office/drawing/2014/main" pred="{9AE4E909-3549-47AF-A2FA-6D901578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29875" y="5829300"/>
          <a:ext cx="990738" cy="819264"/>
        </a:xfrm>
        <a:prstGeom prst="rect">
          <a:avLst/>
        </a:prstGeom>
      </xdr:spPr>
    </xdr:pic>
    <xdr:clientData/>
  </xdr:twoCellAnchor>
  <xdr:twoCellAnchor editAs="oneCell">
    <xdr:from>
      <xdr:col>9</xdr:col>
      <xdr:colOff>476018</xdr:colOff>
      <xdr:row>44</xdr:row>
      <xdr:rowOff>87807</xdr:rowOff>
    </xdr:from>
    <xdr:to>
      <xdr:col>22</xdr:col>
      <xdr:colOff>312839</xdr:colOff>
      <xdr:row>53</xdr:row>
      <xdr:rowOff>178576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6826003A-DA1F-4B05-9A9A-DE943A68EED0}"/>
            </a:ext>
            <a:ext uri="{147F2762-F138-4A5C-976F-8EAC2B608ADB}">
              <a16:predDERef xmlns:a16="http://schemas.microsoft.com/office/drawing/2014/main" pred="{3181EDB0-E960-46C5-BE1E-C8DF0A881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91375" y="12892128"/>
          <a:ext cx="11000121" cy="2576794"/>
        </a:xfrm>
        <a:prstGeom prst="rect">
          <a:avLst/>
        </a:prstGeom>
      </xdr:spPr>
    </xdr:pic>
    <xdr:clientData/>
  </xdr:twoCellAnchor>
  <xdr:twoCellAnchor editAs="oneCell">
    <xdr:from>
      <xdr:col>12</xdr:col>
      <xdr:colOff>235032</xdr:colOff>
      <xdr:row>29</xdr:row>
      <xdr:rowOff>163285</xdr:rowOff>
    </xdr:from>
    <xdr:to>
      <xdr:col>25</xdr:col>
      <xdr:colOff>545254</xdr:colOff>
      <xdr:row>41</xdr:row>
      <xdr:rowOff>19453</xdr:rowOff>
    </xdr:to>
    <xdr:pic>
      <xdr:nvPicPr>
        <xdr:cNvPr id="11" name="Picture 13">
          <a:extLst>
            <a:ext uri="{FF2B5EF4-FFF2-40B4-BE49-F238E27FC236}">
              <a16:creationId xmlns:a16="http://schemas.microsoft.com/office/drawing/2014/main" id="{C18C2FB0-F102-4DFF-A68D-A1AA4CE5F903}"/>
            </a:ext>
            <a:ext uri="{147F2762-F138-4A5C-976F-8EAC2B608ADB}">
              <a16:predDERef xmlns:a16="http://schemas.microsoft.com/office/drawing/2014/main" pred="{6826003A-DA1F-4B05-9A9A-DE943A68E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39211" y="9729106"/>
          <a:ext cx="9878764" cy="2523168"/>
        </a:xfrm>
        <a:prstGeom prst="rect">
          <a:avLst/>
        </a:prstGeom>
      </xdr:spPr>
    </xdr:pic>
    <xdr:clientData/>
  </xdr:twoCellAnchor>
  <xdr:twoCellAnchor editAs="oneCell">
    <xdr:from>
      <xdr:col>11</xdr:col>
      <xdr:colOff>196503</xdr:colOff>
      <xdr:row>64</xdr:row>
      <xdr:rowOff>11046</xdr:rowOff>
    </xdr:from>
    <xdr:to>
      <xdr:col>17</xdr:col>
      <xdr:colOff>479533</xdr:colOff>
      <xdr:row>85</xdr:row>
      <xdr:rowOff>37165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B445CEEA-6A6B-44AC-B41E-3682E0E7B12C}"/>
            </a:ext>
            <a:ext uri="{147F2762-F138-4A5C-976F-8EAC2B608ADB}">
              <a16:predDERef xmlns:a16="http://schemas.microsoft.com/office/drawing/2014/main" pred="{C18C2FB0-F102-4DFF-A68D-A1AA4CE5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52289" y="16815867"/>
          <a:ext cx="6123215" cy="4407619"/>
        </a:xfrm>
        <a:prstGeom prst="rect">
          <a:avLst/>
        </a:prstGeom>
      </xdr:spPr>
    </xdr:pic>
    <xdr:clientData/>
  </xdr:twoCellAnchor>
  <xdr:twoCellAnchor editAs="oneCell">
    <xdr:from>
      <xdr:col>6</xdr:col>
      <xdr:colOff>785452</xdr:colOff>
      <xdr:row>68</xdr:row>
      <xdr:rowOff>185537</xdr:rowOff>
    </xdr:from>
    <xdr:to>
      <xdr:col>10</xdr:col>
      <xdr:colOff>333387</xdr:colOff>
      <xdr:row>74</xdr:row>
      <xdr:rowOff>138133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id="{F4511AD9-F4BE-4A7E-8909-6885011C07D8}"/>
            </a:ext>
            <a:ext uri="{147F2762-F138-4A5C-976F-8EAC2B608ADB}">
              <a16:predDERef xmlns:a16="http://schemas.microsoft.com/office/drawing/2014/main" pred="{B445CEEA-6A6B-44AC-B41E-3682E0E7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57559" y="18133358"/>
          <a:ext cx="3864121" cy="10955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185738</xdr:colOff>
      <xdr:row>3</xdr:row>
      <xdr:rowOff>4763</xdr:rowOff>
    </xdr:from>
    <xdr:to>
      <xdr:col>15</xdr:col>
      <xdr:colOff>581052</xdr:colOff>
      <xdr:row>17</xdr:row>
      <xdr:rowOff>85745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48C32-1B3F-7BDC-3788-4B70B671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7776" y="547688"/>
          <a:ext cx="3633814" cy="2614632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3</xdr:row>
      <xdr:rowOff>0</xdr:rowOff>
    </xdr:from>
    <xdr:to>
      <xdr:col>29</xdr:col>
      <xdr:colOff>38144</xdr:colOff>
      <xdr:row>30</xdr:row>
      <xdr:rowOff>142912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9042D3-6552-7176-F946-80B656B7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68889" y="542925"/>
          <a:ext cx="5867443" cy="5029237"/>
        </a:xfrm>
        <a:prstGeom prst="rect">
          <a:avLst/>
        </a:prstGeom>
      </xdr:spPr>
    </xdr:pic>
    <xdr:clientData/>
  </xdr:twoCellAnchor>
  <xdr:twoCellAnchor editAs="oneCell">
    <xdr:from>
      <xdr:col>9</xdr:col>
      <xdr:colOff>561975</xdr:colOff>
      <xdr:row>17</xdr:row>
      <xdr:rowOff>114301</xdr:rowOff>
    </xdr:from>
    <xdr:to>
      <xdr:col>18</xdr:col>
      <xdr:colOff>423904</xdr:colOff>
      <xdr:row>23</xdr:row>
      <xdr:rowOff>42871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DFB59A-E082-1574-2E54-B0A3F74AA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25475" y="3190876"/>
          <a:ext cx="5691229" cy="10144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7</xdr:col>
      <xdr:colOff>319470</xdr:colOff>
      <xdr:row>28</xdr:row>
      <xdr:rowOff>4463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04C189-268C-AD24-1F1F-8B1BE12F2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81450"/>
          <a:ext cx="5576888" cy="1090313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276225</xdr:colOff>
      <xdr:row>21</xdr:row>
      <xdr:rowOff>114300</xdr:rowOff>
    </xdr:from>
    <xdr:to>
      <xdr:col>11</xdr:col>
      <xdr:colOff>561991</xdr:colOff>
      <xdr:row>28</xdr:row>
      <xdr:rowOff>28584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7EAB3-A26C-CC5D-D944-860FBF33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3914775"/>
          <a:ext cx="2228866" cy="1181109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20</xdr:row>
      <xdr:rowOff>161925</xdr:rowOff>
    </xdr:from>
    <xdr:to>
      <xdr:col>14</xdr:col>
      <xdr:colOff>66675</xdr:colOff>
      <xdr:row>28</xdr:row>
      <xdr:rowOff>152400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F4CC6E4A-DB1D-B083-E99F-41AECE80BA9B}"/>
            </a:ext>
            <a:ext uri="{147F2762-F138-4A5C-976F-8EAC2B608ADB}">
              <a16:predDERef xmlns:a16="http://schemas.microsoft.com/office/drawing/2014/main" pred="{85E7EAB3-A26C-CC5D-D944-860FBF33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5750" y="3781425"/>
          <a:ext cx="1200150" cy="1438275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29</xdr:row>
      <xdr:rowOff>123825</xdr:rowOff>
    </xdr:from>
    <xdr:to>
      <xdr:col>12</xdr:col>
      <xdr:colOff>252413</xdr:colOff>
      <xdr:row>36</xdr:row>
      <xdr:rowOff>174530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D2F58374-BB5C-4AFA-9562-60638AB92757}"/>
            </a:ext>
            <a:ext uri="{147F2762-F138-4A5C-976F-8EAC2B608ADB}">
              <a16:predDERef xmlns:a16="http://schemas.microsoft.com/office/drawing/2014/main" pred="{F4CC6E4A-DB1D-B083-E99F-41AECE80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14975" y="5372100"/>
          <a:ext cx="2905125" cy="13175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</xdr:row>
      <xdr:rowOff>0</xdr:rowOff>
    </xdr:from>
    <xdr:to>
      <xdr:col>11</xdr:col>
      <xdr:colOff>562603</xdr:colOff>
      <xdr:row>41</xdr:row>
      <xdr:rowOff>163830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706C0CFF-19EF-489B-A076-0B863A5D9BB4}"/>
            </a:ext>
            <a:ext uri="{147F2762-F138-4A5C-976F-8EAC2B608ADB}">
              <a16:predDERef xmlns:a16="http://schemas.microsoft.com/office/drawing/2014/main" pred="{D2F58374-BB5C-4AFA-9562-60638AB92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34025" y="6762750"/>
          <a:ext cx="2505703" cy="1611630"/>
        </a:xfrm>
        <a:prstGeom prst="rect">
          <a:avLst/>
        </a:prstGeom>
      </xdr:spPr>
    </xdr:pic>
    <xdr:clientData/>
  </xdr:twoCellAnchor>
  <xdr:twoCellAnchor editAs="oneCell">
    <xdr:from>
      <xdr:col>12</xdr:col>
      <xdr:colOff>438150</xdr:colOff>
      <xdr:row>29</xdr:row>
      <xdr:rowOff>85725</xdr:rowOff>
    </xdr:from>
    <xdr:to>
      <xdr:col>19</xdr:col>
      <xdr:colOff>7529</xdr:colOff>
      <xdr:row>36</xdr:row>
      <xdr:rowOff>57150</xdr:rowOff>
    </xdr:to>
    <xdr:pic>
      <xdr:nvPicPr>
        <xdr:cNvPr id="17" name="Picture 7">
          <a:extLst>
            <a:ext uri="{FF2B5EF4-FFF2-40B4-BE49-F238E27FC236}">
              <a16:creationId xmlns:a16="http://schemas.microsoft.com/office/drawing/2014/main" id="{DEB7E675-9251-4809-8EF9-3B89F591C93A}"/>
            </a:ext>
            <a:ext uri="{147F2762-F138-4A5C-976F-8EAC2B608ADB}">
              <a16:predDERef xmlns:a16="http://schemas.microsoft.com/office/drawing/2014/main" pred="{706C0CFF-19EF-489B-A076-0B863A5D9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10575" y="5334000"/>
          <a:ext cx="4103279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37</xdr:row>
      <xdr:rowOff>0</xdr:rowOff>
    </xdr:from>
    <xdr:to>
      <xdr:col>16</xdr:col>
      <xdr:colOff>209942</xdr:colOff>
      <xdr:row>37</xdr:row>
      <xdr:rowOff>651602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CC23E8-069B-400D-82DE-64EDCCB04289}"/>
            </a:ext>
            <a:ext uri="{147F2762-F138-4A5C-976F-8EAC2B608ADB}">
              <a16:predDERef xmlns:a16="http://schemas.microsoft.com/office/drawing/2014/main" pred="{DEB7E675-9251-4809-8EF9-3B89F591C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72425" y="6762750"/>
          <a:ext cx="2800741" cy="65160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4-01-10T14:15:41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7 18 2759 0 0,'0'-2'248'0'0,"0"0"-248"0"0,0-3 0 0 0,-3 1 0 0 0,3 2 0 0 0,-4 0 0 0 0</inkml:trace>
</inkml:ink>
</file>

<file path=xl/persons/person.xml><?xml version="1.0" encoding="utf-8"?>
<personList xmlns="http://schemas.microsoft.com/office/spreadsheetml/2018/threadedcomments" xmlns:x="http://schemas.openxmlformats.org/spreadsheetml/2006/main">
  <person displayName="Isaiah Crowe" id="{668EE057-901A-47F7-A573-8096FC4F1FAA}" userId="S::is151518@ucf.edu::2fbaeed6-38a7-4749-a2d7-9436e326e53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CBDEC2C-BCAC-4450-A7FF-FBDAC420D86F}" name="Table9" displayName="Table9" ref="X7:AA188" totalsRowShown="0" headerRowDxfId="259">
  <autoFilter ref="X7:AA188" xr:uid="{ECBDEC2C-BCAC-4450-A7FF-FBDAC420D86F}"/>
  <tableColumns count="4">
    <tableColumn id="1" xr3:uid="{C801AB52-704C-49B1-8789-B7B6DCCCC71B}" name="Distance from Tip (in)"/>
    <tableColumn id="2" xr3:uid="{3B1D2712-8E7B-478E-8BC2-6F5BF186BF85}" name="Shear V1">
      <calculatedColumnFormula>($E$64)-($F$64)*(#REF!)</calculatedColumnFormula>
    </tableColumn>
    <tableColumn id="4" xr3:uid="{4A667492-47B9-4C9C-B815-DE5278198D11}" name="Distance from Tip (in)2" dataDxfId="258">
      <calculatedColumnFormula>H16</calculatedColumnFormula>
    </tableColumn>
    <tableColumn id="3" xr3:uid="{D29D806C-14A1-424D-90DF-9E60FAA719B1}" name="Shear V2" dataDxfId="257">
      <calculatedColumnFormula>IF(AND(Table9[[#This Row],[Distance from Tip (in)2]] &lt;&gt; ROUND($J$16,0),AA7 &lt;&gt;0 ), ($G$68)-($F$68*(Z8-$D$68)),0)</calculatedColumn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DA292DA-77CA-42D1-BB17-2A3FDFA1FD39}" name="Table1516" displayName="Table1516" ref="V8:Z9" totalsRowShown="0" headerRowDxfId="208" headerRowBorderDxfId="207" tableBorderDxfId="206" totalsRowBorderDxfId="205" headerRowCellStyle="40% - Accent3">
  <autoFilter ref="V8:Z9" xr:uid="{7DA292DA-77CA-42D1-BB17-2A3FDFA1FD39}"/>
  <tableColumns count="5">
    <tableColumn id="1" xr3:uid="{A9BB5893-5D7D-43B5-9B96-9AC1A7701610}" name=" Normal (Major) Diameter (in)" dataDxfId="204" dataCellStyle="Linked Cell">
      <calculatedColumnFormula array="1">_xlfn.XLOOKUP(U9,Table15[[#All],[Rod Type]],Table15[[#All],[Normal (Major) Diameter (in)]])</calculatedColumnFormula>
    </tableColumn>
    <tableColumn id="2" xr3:uid="{330033B7-23C1-4F32-9324-630D0B155F6E}" name="External Threads Per Inch (in^-1)" dataDxfId="203" dataCellStyle="Linked Cell">
      <calculatedColumnFormula array="1">_xlfn.XLOOKUP(V9,Table15[[#All],[Normal (Major) Diameter (in)]],Table15[[#All],[Threads Per Inch (in^-1)]])</calculatedColumnFormula>
    </tableColumn>
    <tableColumn id="3" xr3:uid="{8FBEF3BA-F2FE-4E3D-99DE-B32BCB7AB8E8}" name="External Pitch (in)" dataDxfId="202" dataCellStyle="Linked Cell">
      <calculatedColumnFormula array="1">_xlfn.XLOOKUP(W9,Table15[[#All],[Threads Per Inch (in^-1)]],Table15[[#All],[Pitch (degrees)]])</calculatedColumnFormula>
    </tableColumn>
    <tableColumn id="4" xr3:uid="{20FDC733-D1DE-4165-A47E-5931C4EE341C}" name="Tensile Strength (psi)">
      <calculatedColumnFormula>_xlfn.XLOOKUP(U9,AD8:AD18,AJ8:AJ18)</calculatedColumnFormula>
    </tableColumn>
    <tableColumn id="5" xr3:uid="{454309E2-9F33-45D2-8092-A42A18EA9545}" name="Shear Strength (psi)">
      <calculatedColumnFormula>Table1516[[#This Row],[Tensile Strength (psi)]]*0.6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D774FDC-1201-453E-9A60-C6F56C4CC1B3}" name="Table114" displayName="Table114" ref="H45:O46" totalsRowShown="0" headerRowDxfId="201" headerRowBorderDxfId="200" headerRowCellStyle="40% - Accent3">
  <autoFilter ref="H45:O46" xr:uid="{ED774FDC-1201-453E-9A60-C6F56C4CC1B3}"/>
  <tableColumns count="8">
    <tableColumn id="1" xr3:uid="{A62C870B-8CF4-4629-8C1F-6DDF8D7571A8}" name="Bolt Type" dataCellStyle="Input"/>
    <tableColumn id="2" xr3:uid="{C73E21B8-43CF-43BF-93D4-9404FEFF83C0}" name="Dmajor Bolts" dataDxfId="199" dataCellStyle="Linked Cell">
      <calculatedColumnFormula>_xlfn.XLOOKUP(Table114[[#This Row],[Bolt Type]],Table10[Screw size/tpi],Table10[Dmajor (in)])</calculatedColumnFormula>
    </tableColumn>
    <tableColumn id="3" xr3:uid="{C0B4E5F1-FA91-4C3F-AD7A-2312A2980142}" name="Dminor (in)" dataDxfId="198" dataCellStyle="Linked Cell">
      <calculatedColumnFormula>_xlfn.XLOOKUP(Table114[[#This Row],[Bolt Type]],Table10[Screw size/tpi],Table10[Dminor])</calculatedColumnFormula>
    </tableColumn>
    <tableColumn id="4" xr3:uid="{4C430F81-BBE9-4A8C-9017-02873308302C}" name="Amajor" dataDxfId="197" dataCellStyle="Linked Cell">
      <calculatedColumnFormula>_xlfn.XLOOKUP(Table114[[#This Row],[Bolt Type]],Table10[Screw size/tpi],Table10[Amajor])</calculatedColumnFormula>
    </tableColumn>
    <tableColumn id="5" xr3:uid="{EF40D9AD-B9B8-4CC4-87C8-D0D3FF68D35F}" name="Aminor" dataDxfId="196" dataCellStyle="Linked Cell">
      <calculatedColumnFormula>_xlfn.XLOOKUP(Table114[[#This Row],[Bolt Type]],Table10[Screw size/tpi],Table10[Aminor])</calculatedColumnFormula>
    </tableColumn>
    <tableColumn id="6" xr3:uid="{E0FFA3FE-FFEB-41F9-8A50-3429F42BCF9B}" name="Ultimate Shear Strength (lbf)" dataDxfId="195" dataCellStyle="Linked Cell">
      <calculatedColumnFormula>_xlfn.XLOOKUP(Table114[[#This Row],[Bolt Type]],Table10[Screw size/tpi],Table10[Ultimae Shear Strength (lbf)])</calculatedColumnFormula>
    </tableColumn>
    <tableColumn id="8" xr3:uid="{917C7591-995E-4866-BCA5-EA11AEA70C58}" name="Ultimate Tensile Strength (lbf)" dataDxfId="194" dataCellStyle="Linked Cell">
      <calculatedColumnFormula>_xlfn.XLOOKUP(Table114[[#This Row],[Bolt Type]],Table10[Screw size/tpi],Table10[Ultimae Tensile Strength (lbf)])</calculatedColumnFormula>
    </tableColumn>
    <tableColumn id="7" xr3:uid="{5ECACF59-1861-4225-A180-6058CEACA82F}" name="Thread Per In" dataDxfId="193" dataCellStyle="Linked Cell">
      <calculatedColumnFormula>_xlfn.XLOOKUP(Table114[[#This Row],[Bolt Type]],Table10[Screw size/tpi],Table10[Threads Per Inch])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ED1EDE8-AEBA-4FCB-AA30-2DAF307A0EED}" name="Table5" displayName="Table5" ref="B12:C20" totalsRowShown="0">
  <autoFilter ref="B12:C20" xr:uid="{9ED1EDE8-AEBA-4FCB-AA30-2DAF307A0EED}"/>
  <tableColumns count="2">
    <tableColumn id="1" xr3:uid="{100224B4-6B9C-4EB1-B522-CDC00DF4254E}" name="Layer"/>
    <tableColumn id="2" xr3:uid="{3173EA88-692A-45A2-8E62-C090210C27AA}" name="Circumference" dataDxfId="192">
      <calculatedColumnFormula>PI() * ('In and Out'!$G$52 + Table5[[#This Row],[Layer]]*$D$8)</calculatedColumnFormula>
    </tableColumn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D698D14-5959-47CF-992A-0F6D00E1D011}" name="Table1820" displayName="Table1820" ref="D70:F79" totalsRowShown="0" headerRowDxfId="191" dataDxfId="190">
  <autoFilter ref="D70:F79" xr:uid="{1D698D14-5959-47CF-992A-0F6D00E1D011}"/>
  <tableColumns count="3">
    <tableColumn id="1" xr3:uid="{C800B956-1AD0-41C1-AB26-2BB5F1032B96}" name="Layers (Outside to inside)" dataDxfId="189"/>
    <tableColumn id="2" xr3:uid="{2C12A08B-C9AC-41BE-A7FB-8B43C898D80D}" name="Diameter" dataDxfId="188">
      <calculatedColumnFormula>($D$68-($E$68*D71))</calculatedColumnFormula>
    </tableColumn>
    <tableColumn id="3" xr3:uid="{FB3A4991-3C97-4F81-B5C8-5E47916352FF}" name="Circumference" dataDxfId="187">
      <calculatedColumnFormula>E71*PI()</calculatedColumn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408156-B4DC-4C88-809C-4127F61CC8CD}" name="Table20" displayName="Table20" ref="K31:M38" totalsRowShown="0" tableBorderDxfId="186">
  <autoFilter ref="K31:M38" xr:uid="{15408156-B4DC-4C88-809C-4127F61CC8CD}"/>
  <tableColumns count="3">
    <tableColumn id="1" xr3:uid="{2DAE02B7-1E9B-4FF9-A3D5-A831949BE93F}" name="Column1"/>
    <tableColumn id="2" xr3:uid="{A0FD2E01-9118-4DD5-8825-FB102DD3A3DA}" name="Length (in)"/>
    <tableColumn id="3" xr3:uid="{06AF7369-22F4-4F1A-93F5-863E6976CB77}" name="Total (Yrds)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6E98573-E2F3-4AC3-8D48-B50A34D54593}" name="Table21" displayName="Table21" ref="O40:Q43" totalsRowShown="0" tableBorderDxfId="185">
  <autoFilter ref="O40:Q43" xr:uid="{06E98573-E2F3-4AC3-8D48-B50A34D54593}"/>
  <tableColumns count="3">
    <tableColumn id="1" xr3:uid="{EA52AB45-B4A6-4086-A08A-E9E2880F10BB}" name="Column1"/>
    <tableColumn id="2" xr3:uid="{168C562D-21A2-4E79-BE5B-CEAD05B0058D}" name="in"/>
    <tableColumn id="3" xr3:uid="{33F138E4-A31A-489C-BF28-12FE38FFBACC}" name="yrds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156CCF-FBA3-4A12-BFCF-84B6CA673CB6}" name="Table1145" displayName="Table1145" ref="D11:K12" totalsRowShown="0" headerRowDxfId="184" headerRowBorderDxfId="183" headerRowCellStyle="40% - Accent3">
  <autoFilter ref="D11:K12" xr:uid="{ED774FDC-1201-453E-9A60-C6F56C4CC1B3}"/>
  <tableColumns count="8">
    <tableColumn id="1" xr3:uid="{1899F904-74B4-4D0D-9970-2DD7E90D5F02}" name="Bolt Type" dataCellStyle="Input"/>
    <tableColumn id="2" xr3:uid="{81E0B1D0-D376-4B5A-8FA4-C4983018374C}" name="Dmajor Bolts" dataDxfId="182" dataCellStyle="Linked Cell">
      <calculatedColumnFormula>_xlfn.XLOOKUP(Table1145[[#This Row],[Bolt Type]],Table10[Screw size/tpi],Table10[Dmajor (in)])</calculatedColumnFormula>
    </tableColumn>
    <tableColumn id="3" xr3:uid="{ADF3A676-5F8B-496C-A9F6-66248C3EF71F}" name="Dminor (in)" dataDxfId="181" dataCellStyle="Linked Cell">
      <calculatedColumnFormula>_xlfn.XLOOKUP(Table1145[[#This Row],[Bolt Type]],Table10[Screw size/tpi],Table10[Dminor])</calculatedColumnFormula>
    </tableColumn>
    <tableColumn id="4" xr3:uid="{DCB8B5D6-6816-4EFF-B22D-30C30AD4BB9D}" name="Amajor" dataDxfId="180" dataCellStyle="Linked Cell">
      <calculatedColumnFormula>_xlfn.XLOOKUP(Table1145[[#This Row],[Bolt Type]],Table10[Screw size/tpi],Table10[Amajor])</calculatedColumnFormula>
    </tableColumn>
    <tableColumn id="5" xr3:uid="{219200E9-3ACD-4D8E-AC8B-B542EACFA771}" name="Aminor" dataDxfId="179" dataCellStyle="Linked Cell">
      <calculatedColumnFormula>_xlfn.XLOOKUP(Table1145[[#This Row],[Bolt Type]],Table10[Screw size/tpi],Table10[Aminor])</calculatedColumnFormula>
    </tableColumn>
    <tableColumn id="6" xr3:uid="{1A65449D-F9B5-442F-B332-E6730681FA08}" name="Ultimate Shear Strength (lbf)" dataDxfId="178" dataCellStyle="Linked Cell">
      <calculatedColumnFormula>_xlfn.XLOOKUP(Table1145[[#This Row],[Bolt Type]],Table10[Screw size/tpi],Table10[Ultimae Shear Strength (lbf)])</calculatedColumnFormula>
    </tableColumn>
    <tableColumn id="8" xr3:uid="{1C16E0DC-AEC2-4E69-B94D-DADBC0EF6FC1}" name="Ultimate Tensile Strength (lbf)" dataDxfId="177" dataCellStyle="Linked Cell">
      <calculatedColumnFormula>_xlfn.XLOOKUP(Table1145[[#This Row],[Bolt Type]],Table10[Screw size/tpi],Table10[Ultimae Tensile Strength (lbf)])</calculatedColumnFormula>
    </tableColumn>
    <tableColumn id="7" xr3:uid="{67FB7885-5AD1-4374-9D76-52B96B10E8F5}" name="Thread Per In" dataDxfId="176" dataCellStyle="Linked Cell">
      <calculatedColumnFormula>_xlfn.XLOOKUP(Table1145[[#This Row],[Bolt Type]],Table10[Screw size/tpi],Table10[Threads Per Inch])</calculatedColumn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3C47BD-E903-4694-A9E1-EE7CADFF6EE2}" name="Table6" displayName="Table6" ref="A32:C39" totalsRowShown="0" headerRowBorderDxfId="175" tableBorderDxfId="174" totalsRowBorderDxfId="173">
  <autoFilter ref="A32:C39" xr:uid="{D83C47BD-E903-4694-A9E1-EE7CADFF6EE2}"/>
  <tableColumns count="3">
    <tableColumn id="1" xr3:uid="{67E6EB99-D8E2-4CC9-AB35-D59ED7F015BF}" name="Variable" dataDxfId="172"/>
    <tableColumn id="2" xr3:uid="{8BCF73E4-C2B3-47B9-A6A1-4CDB7204A02D}" name="Units" dataDxfId="171"/>
    <tableColumn id="3" xr3:uid="{316424AE-F3C5-48AD-AAD0-2331E227F1EB}" name="Value" dataDxfId="170"/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8C3FA20-8770-4117-85CC-67617960267C}" name="Table7" displayName="Table7" ref="E32:G40" totalsRowShown="0" headerRowBorderDxfId="169" tableBorderDxfId="168" totalsRowBorderDxfId="167">
  <autoFilter ref="E32:G40" xr:uid="{F8C3FA20-8770-4117-85CC-67617960267C}"/>
  <tableColumns count="3">
    <tableColumn id="1" xr3:uid="{7568CC42-D9C8-4CC4-BB18-56EF5612974D}" name="Variable" dataDxfId="166"/>
    <tableColumn id="2" xr3:uid="{3AD9323C-5D81-4D8A-B9F8-91DA058B295A}" name="Units" dataDxfId="165"/>
    <tableColumn id="3" xr3:uid="{95CCCEFF-03C8-44A7-8D6F-E2F6F15DDC9B}" name="Value" dataDxfId="164"/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F3B1F71-D06E-4EB6-9469-3BC12B3CB08E}" name="Table16" displayName="Table16" ref="H2:P9" totalsRowShown="0">
  <autoFilter ref="H2:P9" xr:uid="{5F3B1F71-D06E-4EB6-9469-3BC12B3CB08E}"/>
  <tableColumns count="9">
    <tableColumn id="1" xr3:uid="{882443D0-E813-4D90-9702-407AE7B41EB0}" name="Components"/>
    <tableColumn id="2" xr3:uid="{67CB3458-787B-4517-92B0-4B4090DBBAD0}" name="Quanity"/>
    <tableColumn id="3" xr3:uid="{5828AA9E-E091-40C6-8460-DB5AD82D07EE}" name="Width (in)"/>
    <tableColumn id="4" xr3:uid="{60D24ABC-DB1F-4FD5-B6AF-D27B243EA84B}" name="Length (in)"/>
    <tableColumn id="5" xr3:uid="{EA63957F-C705-4414-8712-FEC416B255B0}" name="Diamter (in)"/>
    <tableColumn id="6" xr3:uid="{CAE01DA5-CB95-41B9-B7EA-8F68B3BA66B9}" name="Area Square">
      <calculatedColumnFormula>J3*K3</calculatedColumnFormula>
    </tableColumn>
    <tableColumn id="7" xr3:uid="{2E9A2323-83B6-440C-A2BB-A841E4924F84}" name="Area Circle">
      <calculatedColumnFormula>PI()*L3^2*(1/4)</calculatedColumnFormula>
    </tableColumn>
    <tableColumn id="8" xr3:uid="{E1C9ADC4-80D5-45CD-B447-89807ADB61D6}" name="Total Area Needed" dataDxfId="163">
      <calculatedColumnFormula>IF(Table16[[#This Row],[Area Square]]=0,Table16[[#This Row],[Area Circle]]*Table16[[#This Row],[Quanity]],Table16[[#This Row],[Area Square]]*Table16[[#This Row],[Quanity]])</calculatedColumnFormula>
    </tableColumn>
    <tableColumn id="9" xr3:uid="{0D8128AF-70C9-4512-B815-67F51B0F0341}" name="Num of plates" dataDxfId="162">
      <calculatedColumnFormula>Table16[[#This Row],[Total Area Needed]]/Table17[[#This Row],[Area (in^2)]]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CCD2FDF-967A-4FF8-82E2-4C0C2189511B}" name="Table97" displayName="Table97" ref="AK7:AN188" totalsRowShown="0">
  <autoFilter ref="AK7:AN188" xr:uid="{7CCD2FDF-967A-4FF8-82E2-4C0C2189511B}"/>
  <tableColumns count="4">
    <tableColumn id="1" xr3:uid="{CD13B2BE-E28F-4DDC-98CD-230309313C93}" name="Distance from Tip (in)"/>
    <tableColumn id="2" xr3:uid="{CDCBA37C-EFC6-4056-A02F-8725C6E1BC35}" name="Moment M1">
      <calculatedColumnFormula>($E$64)-($F$64)*(#REF!)</calculatedColumnFormula>
    </tableColumn>
    <tableColumn id="4" xr3:uid="{2D9CA172-F0BC-4EFD-8033-2289214F6AA1}" name="Distance from Tip (in)2" dataDxfId="256">
      <calculatedColumnFormula>U16</calculatedColumnFormula>
    </tableColumn>
    <tableColumn id="3" xr3:uid="{63C75428-B772-48EA-946E-7C8101E83139}" name="Moment M2" dataDxfId="255">
      <calculatedColumnFormula>IF(AND(Table97[[#This Row],[Distance from Tip (in)2]] &lt;&gt; ROUND($J$16,0),AN7 &lt;&gt;0 ), ($D$60*Table97[[#This Row],[Distance from Tip (in)2]])+($F$60*((Table97[[#This Row],[Distance from Tip (in)2]]^2)+(0.5*$G$60^2)-(0.5*Table97[[#This Row],[Distance from Tip (in)2]]^2)))-($G$60*($D$60+($F$60*Table97[[#This Row],[Distance from Tip (in)2]]))),0)</calculatedColumnFormula>
    </tableColumn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9F774DA-A59C-4BE0-AE4B-E8D92B744300}" name="Table17" displayName="Table17" ref="B2:E9" totalsRowShown="0">
  <autoFilter ref="B2:E9" xr:uid="{29F774DA-A59C-4BE0-AE4B-E8D92B744300}"/>
  <tableColumns count="4">
    <tableColumn id="1" xr3:uid="{D02DCD97-8443-48AB-A4FA-2BBD4D0D4F57}" name="Column1"/>
    <tableColumn id="2" xr3:uid="{8C89DD11-9943-45C5-8F17-A93D63157082}" name="Length (in)"/>
    <tableColumn id="3" xr3:uid="{767AA131-1F39-4A2D-A8AC-49330DAF1215}" name="Width (in)"/>
    <tableColumn id="4" xr3:uid="{26292F5C-1D47-4962-B45E-7CBCE6284A93}" name="Area (in^2)">
      <calculatedColumnFormula>C3*D3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D1B30E4-AAAA-4EC7-A94A-05A6AE47C47F}" name="Table18" displayName="Table18" ref="I149:K160" totalsRowShown="0" headerRowDxfId="254" dataDxfId="253">
  <autoFilter ref="I149:K160" xr:uid="{2D1B30E4-AAAA-4EC7-A94A-05A6AE47C47F}"/>
  <tableColumns count="3">
    <tableColumn id="1" xr3:uid="{7E60B89C-B758-4798-9BB1-432AAC5F1C30}" name="Layers (Outside to inside)" dataDxfId="252"/>
    <tableColumn id="2" xr3:uid="{F02D09DA-2B7C-4E86-B639-806384EB150D}" name="Diameter" dataDxfId="251">
      <calculatedColumnFormula>($I$147-($J$147*I150))</calculatedColumnFormula>
    </tableColumn>
    <tableColumn id="3" xr3:uid="{FF64CDE5-D156-4A6C-8592-4840BB377A4F}" name="Circumference" dataDxfId="250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E5D6130-4C94-445F-A61E-BD9828448748}" name="Table10" displayName="Table10" ref="M8:T16" totalsRowShown="0" headerRowDxfId="249" dataDxfId="248">
  <autoFilter ref="M8:T16" xr:uid="{DE5D6130-4C94-445F-A61E-BD9828448748}"/>
  <sortState xmlns:xlrd2="http://schemas.microsoft.com/office/spreadsheetml/2017/richdata2" ref="M9:S16">
    <sortCondition ref="N8:N16"/>
  </sortState>
  <tableColumns count="8">
    <tableColumn id="1" xr3:uid="{5044042F-3D0C-4DB7-8D9E-857A21664DE2}" name="Screw size/tpi" dataDxfId="247"/>
    <tableColumn id="2" xr3:uid="{8D5116BE-EAD5-4E53-8C35-453123376F71}" name="Dmajor (in)" dataDxfId="246"/>
    <tableColumn id="3" xr3:uid="{1D6EB462-805F-4885-8FC4-1C796BA18182}" name="Dminor" dataDxfId="245"/>
    <tableColumn id="4" xr3:uid="{58FE65D4-5F25-47C1-85E8-4D120323C149}" name="Amajor" dataDxfId="244">
      <calculatedColumnFormula>PI()*N9^2</calculatedColumnFormula>
    </tableColumn>
    <tableColumn id="5" xr3:uid="{C32D9A94-34BE-4BDB-A4FD-730691FE01B8}" name="Aminor" dataDxfId="243">
      <calculatedColumnFormula>PI()*O9^2</calculatedColumnFormula>
    </tableColumn>
    <tableColumn id="6" xr3:uid="{C87E0EAE-A5FB-4C14-AFE0-B7D15F9716CA}" name="Ultimae Shear Strength (lbf)" dataDxfId="242"/>
    <tableColumn id="8" xr3:uid="{3BC539AD-9FA6-47EC-AE66-57E4974D9613}" name="Ultimae Tensile Strength (lbf)" dataDxfId="241"/>
    <tableColumn id="7" xr3:uid="{42B232EB-090C-42CA-9D9C-B26051DF7921}" name="Threads Per Inch" dataDxfId="240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00DD963-C760-4C42-B41F-B8FD6743278F}" name="Table11" displayName="Table11" ref="C10:I11" totalsRowShown="0" headerRowDxfId="239" headerRowBorderDxfId="238" headerRowCellStyle="40% - Accent3">
  <autoFilter ref="C10:I11" xr:uid="{400DD963-C760-4C42-B41F-B8FD6743278F}"/>
  <tableColumns count="7">
    <tableColumn id="1" xr3:uid="{D2CCA495-CF17-428E-ACE8-B968162B817A}" name="Bolt Type" dataCellStyle="Input"/>
    <tableColumn id="2" xr3:uid="{9B82C36B-A3B6-4320-859D-36E8DB961290}" name="Dmajor Bolts" dataDxfId="237" dataCellStyle="Linked Cell">
      <calculatedColumnFormula>_xlfn.XLOOKUP(Table11[[#This Row],[Bolt Type]],Table10[Screw size/tpi],Table10[Dmajor (in)])</calculatedColumnFormula>
    </tableColumn>
    <tableColumn id="3" xr3:uid="{D2E894C6-3176-49BD-9002-70C57971EA60}" name="Dmajor (in)" dataDxfId="236" dataCellStyle="Linked Cell">
      <calculatedColumnFormula>_xlfn.XLOOKUP(Table11[[#This Row],[Bolt Type]],Table10[Screw size/tpi],Table10[Dminor])</calculatedColumnFormula>
    </tableColumn>
    <tableColumn id="4" xr3:uid="{9C390DF9-F65D-4455-A225-D0EEC73EE2F6}" name="Amajor" dataDxfId="235" dataCellStyle="Linked Cell">
      <calculatedColumnFormula>_xlfn.XLOOKUP(Table11[[#This Row],[Bolt Type]],Table10[Screw size/tpi],Table10[Amajor])</calculatedColumnFormula>
    </tableColumn>
    <tableColumn id="5" xr3:uid="{CDA8F11F-A57C-4AB3-BA20-D103FB06F36A}" name="Aminor" dataDxfId="234" dataCellStyle="Linked Cell">
      <calculatedColumnFormula>_xlfn.XLOOKUP(Table11[[#This Row],[Bolt Type]],Table10[Screw size/tpi],Table10[Aminor])</calculatedColumnFormula>
    </tableColumn>
    <tableColumn id="6" xr3:uid="{3B71E525-36DE-46E1-86F7-97E3E89FBE24}" name="Ultimate Shear Strength (lbf)" dataDxfId="233" dataCellStyle="Linked Cell">
      <calculatedColumnFormula>_xlfn.XLOOKUP(Table11[[#This Row],[Bolt Type]],Table10[Screw size/tpi],Table10[Ultimae Shear Strength (lbf)])</calculatedColumnFormula>
    </tableColumn>
    <tableColumn id="8" xr3:uid="{4AFDCF47-E89D-42E0-B63B-017AAD7D8841}" name="Ultimate Tensile Strength (lbf)" dataDxfId="232" dataCellStyle="Linked Cell">
      <calculatedColumnFormula>_xlfn.XLOOKUP(Table11[[#This Row],[Bolt Type]],Table10[Screw size/tpi],Table10[Ultimae Tensile Strength (lbf)])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086E588-835D-424D-B6EA-5973AD0B4A19}" name="Table12" displayName="Table12" ref="E125:I126" totalsRowShown="0" headerRowDxfId="231" headerRowBorderDxfId="230" tableBorderDxfId="229" totalsRowBorderDxfId="228">
  <autoFilter ref="E125:I126" xr:uid="{6086E588-835D-424D-B6EA-5973AD0B4A19}"/>
  <tableColumns count="5">
    <tableColumn id="1" xr3:uid="{77204FAB-AE31-4CC4-A236-4F96856927F1}" name="Thickness of composite(in)" dataDxfId="227"/>
    <tableColumn id="2" xr3:uid="{586D32BB-A921-4986-9911-DD85DBA0ACEB}" name="Edge Distance" dataDxfId="226">
      <calculatedColumnFormula>G97</calculatedColumnFormula>
    </tableColumn>
    <tableColumn id="3" xr3:uid="{9AC52103-D4EF-482C-BA3A-9EDD8AD301F3}" name="Allowable shear stress (psi) 6 ply" dataDxfId="225"/>
    <tableColumn id="4" xr3:uid="{2DFCF027-E52D-4452-93F0-6B2DB40D5FAB}" name="Column1" dataDxfId="224"/>
    <tableColumn id="5" xr3:uid="{BCB3C9FD-E991-41CE-8248-456D71C76AD9}" name="Minimum Edge Distance" dataDxfId="223">
      <calculatedColumnFormula>G100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5C2C113-0382-426B-9CA4-D4BB86157B4E}" name="Table13" displayName="Table13" ref="E136:F148" totalsRowShown="0">
  <autoFilter ref="E136:F148" xr:uid="{A5C2C113-0382-426B-9CA4-D4BB86157B4E}"/>
  <tableColumns count="2">
    <tableColumn id="1" xr3:uid="{76D965DC-40B6-4DD3-A73C-F5762A7017E5}" name="Edge distance (in)"/>
    <tableColumn id="2" xr3:uid="{4E45865B-8C57-490F-9A72-D94128B52F3D}" name="Force to Cause Failure" dataDxfId="222">
      <calculatedColumnFormula array="1">Table12[Allowable shear stress (psi) 6 ply]*2*Table13[[#This Row],[Edge distance (in)]]*Table12[Thickness of composite(in)]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3E5A6AB-07C8-4A5E-9082-1C60557FF34F}" name="Table14" displayName="Table14" ref="E134:F135" totalsRowShown="0">
  <autoFilter ref="E134:F135" xr:uid="{53E5A6AB-07C8-4A5E-9082-1C60557FF34F}"/>
  <tableColumns count="2">
    <tableColumn id="1" xr3:uid="{83935340-95BB-4189-92C3-06932DF0B708}" name="Thickness of Composite"/>
    <tableColumn id="2" xr3:uid="{633FE9B2-91F3-4D90-B1F0-227E915D952B}" name="Allowable Shear Stres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CF74939-DDEA-4C83-A164-6908D1E3C31D}" name="Table15" displayName="Table15" ref="AD8:AK9" totalsRowShown="0" headerRowDxfId="221" dataDxfId="219" headerRowBorderDxfId="220" tableBorderDxfId="218" totalsRowBorderDxfId="217" dataCellStyle="Input">
  <autoFilter ref="AD8:AK9" xr:uid="{0CF74939-DDEA-4C83-A164-6908D1E3C31D}"/>
  <tableColumns count="8">
    <tableColumn id="4" xr3:uid="{F399BF7C-7126-4EF3-B674-B34EBF9CC52A}" name="Rod Type" dataDxfId="216" dataCellStyle="Input"/>
    <tableColumn id="1" xr3:uid="{88D3E5B7-9F90-4A36-AA38-57D5894A7CBF}" name="Normal (Major) Diameter (in)" dataDxfId="215" dataCellStyle="Input"/>
    <tableColumn id="2" xr3:uid="{F90D6D7A-D9AF-483C-90AB-BB68B5558D22}" name="Threads Per Inch (in^-1)" dataDxfId="214" dataCellStyle="Input"/>
    <tableColumn id="3" xr3:uid="{FD461325-0E91-4EE8-AA94-E3EF767B6D32}" name="Pitch (degrees)" dataDxfId="213" dataCellStyle="Input"/>
    <tableColumn id="5" xr3:uid="{8E2184BC-2149-4092-A572-9B239E9D3FD1}" name="Material" dataDxfId="212" dataCellStyle="Input"/>
    <tableColumn id="6" xr3:uid="{85E7AA3E-9A36-407C-A7D0-1DDA5E3B9421}" name="Modulus Elasticity (psi)" dataDxfId="211" dataCellStyle="Input">
      <calculatedColumnFormula>28*10^6</calculatedColumnFormula>
    </tableColumn>
    <tableColumn id="7" xr3:uid="{4C44C6AA-BABE-45D5-8E54-7346146D7A55}" name="Tensile (psi)" dataDxfId="210" dataCellStyle="Input">
      <calculatedColumnFormula>515*10^3</calculatedColumnFormula>
    </tableColumn>
    <tableColumn id="8" xr3:uid="{C4E14365-49FC-4515-949E-13658638B969}" name="Shear Strength (psi)" dataDxfId="209" dataCellStyle="Input">
      <calculatedColumnFormula>Table15[[#This Row],[Tensile (psi)]]*0.6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25" dT="2023-11-20T20:28:14.34" personId="{668EE057-901A-47F7-A573-8096FC4F1FAA}" id="{4517A314-62E6-4A4D-B40A-CB30CE208EC2}">
    <text>so incredibly sexy
6969 420 :)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Relationship Id="rId9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ineersedge.com/thread_strength/thread_bolt_stress_area_iso.htm" TargetMode="External"/><Relationship Id="rId2" Type="http://schemas.openxmlformats.org/officeDocument/2006/relationships/hyperlink" Target="https://www.fastenersplus.com/products/3-8-16-x-12-304-stainless-steel-threaded-rod?hsa_acc=3477180114&amp;hsa_cam=17323040100&amp;hsa_grp=1321615295633384&amp;hsa_ad=&amp;hsa_src=o&amp;hsa_tgt=dat-2334400624998458:loc-190&amp;hsa_kw=stainless-steel-threaded-rod&amp;hsa_mt=b&amp;hsa_net=adwords&amp;hsa_ver=3&amp;msclkid=3699006e4b3b19e8818c65153353e7a6&amp;utm_source=bing&amp;utm_medium=cpc&amp;utm_campaign=%23%23Dynamic%20Ads%20-%20Threaded%20Rod&amp;utm_term=stainless-steel-threaded-rod&amp;utm_content=Stainless%20Steel%20Threaded%20Rod" TargetMode="External"/><Relationship Id="rId1" Type="http://schemas.openxmlformats.org/officeDocument/2006/relationships/hyperlink" Target="https://mechanicalc.com/reference/bolted-joint-analysis" TargetMode="External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dcowrocketry.com/6-g12-coupler/" TargetMode="External"/><Relationship Id="rId2" Type="http://schemas.openxmlformats.org/officeDocument/2006/relationships/hyperlink" Target="https://wiki.rit.edu/display/ritlaunch/Parachute+Selection+and+Snatch+Force" TargetMode="External"/><Relationship Id="rId1" Type="http://schemas.openxmlformats.org/officeDocument/2006/relationships/hyperlink" Target="http://www.rocketmime.com/rockets/descent.html" TargetMode="External"/><Relationship Id="rId6" Type="http://schemas.openxmlformats.org/officeDocument/2006/relationships/table" Target="../tables/table11.xml"/><Relationship Id="rId5" Type="http://schemas.openxmlformats.org/officeDocument/2006/relationships/drawing" Target="../drawings/drawing5.xml"/><Relationship Id="rId4" Type="http://schemas.openxmlformats.org/officeDocument/2006/relationships/hyperlink" Target="https://www.laminatedplastics.com/fiberglasslaminates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6.xml"/><Relationship Id="rId1" Type="http://schemas.openxmlformats.org/officeDocument/2006/relationships/hyperlink" Target="https://compositeenvisions.com/product/fiberglass-e-glass-fabric-sleeve/" TargetMode="External"/><Relationship Id="rId6" Type="http://schemas.openxmlformats.org/officeDocument/2006/relationships/table" Target="../tables/table15.xml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www.laminatedplastics.com/fiberglasslaminates.pdf" TargetMode="External"/><Relationship Id="rId1" Type="http://schemas.openxmlformats.org/officeDocument/2006/relationships/hyperlink" Target="https://www.madcowrocketry.com/6-g12-coupler/" TargetMode="External"/><Relationship Id="rId4" Type="http://schemas.openxmlformats.org/officeDocument/2006/relationships/table" Target="../tables/table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9.xml"/><Relationship Id="rId1" Type="http://schemas.openxmlformats.org/officeDocument/2006/relationships/hyperlink" Target="https://apogeerockets.com/education/downloads/Newsletter291.pdf" TargetMode="External"/><Relationship Id="rId4" Type="http://schemas.openxmlformats.org/officeDocument/2006/relationships/table" Target="../tables/table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6CEBF-7A39-4AA3-BFBD-A1235F83D4B6}">
  <sheetPr>
    <tabColor rgb="FF92D050"/>
  </sheetPr>
  <dimension ref="B2:AO138"/>
  <sheetViews>
    <sheetView tabSelected="1" zoomScaleNormal="100" workbookViewId="0">
      <selection activeCell="K8" sqref="K8"/>
    </sheetView>
  </sheetViews>
  <sheetFormatPr defaultColWidth="9.140625" defaultRowHeight="15" x14ac:dyDescent="0.25"/>
  <cols>
    <col min="1" max="1" width="9.140625" style="22"/>
    <col min="2" max="2" width="12.140625" style="22" bestFit="1" customWidth="1"/>
    <col min="3" max="4" width="12.85546875" style="22" customWidth="1"/>
    <col min="5" max="5" width="12.85546875" style="22" bestFit="1" customWidth="1"/>
    <col min="6" max="6" width="13.42578125" style="22" customWidth="1"/>
    <col min="7" max="7" width="15.140625" style="22" bestFit="1" customWidth="1"/>
    <col min="8" max="8" width="13.42578125" style="22" bestFit="1" customWidth="1"/>
    <col min="9" max="10" width="13.85546875" style="22" bestFit="1" customWidth="1"/>
    <col min="11" max="11" width="16.140625" style="22" bestFit="1" customWidth="1"/>
    <col min="12" max="12" width="11.85546875" style="22" bestFit="1" customWidth="1"/>
    <col min="13" max="13" width="12.140625" style="22" bestFit="1" customWidth="1"/>
    <col min="14" max="14" width="15.42578125" style="22" bestFit="1" customWidth="1"/>
    <col min="15" max="15" width="13.85546875" style="22" customWidth="1"/>
    <col min="16" max="16" width="13.140625" style="22" bestFit="1" customWidth="1"/>
    <col min="17" max="17" width="11.85546875" style="22" bestFit="1" customWidth="1"/>
    <col min="18" max="18" width="15.42578125" style="22" bestFit="1" customWidth="1"/>
    <col min="19" max="19" width="12.85546875" style="22" bestFit="1" customWidth="1"/>
    <col min="20" max="23" width="9.140625" style="22"/>
    <col min="24" max="24" width="23.5703125" style="22" bestFit="1" customWidth="1"/>
    <col min="25" max="25" width="9.140625" style="22"/>
    <col min="26" max="26" width="16.140625" style="22" customWidth="1"/>
    <col min="27" max="16384" width="9.140625" style="22"/>
  </cols>
  <sheetData>
    <row r="2" spans="2:14" ht="15" customHeight="1" x14ac:dyDescent="0.25">
      <c r="B2" s="153" t="s">
        <v>0</v>
      </c>
      <c r="C2" s="153"/>
      <c r="D2" s="153"/>
      <c r="E2" s="153"/>
      <c r="F2" s="153"/>
      <c r="G2" s="153"/>
      <c r="H2" s="153"/>
      <c r="I2" s="37"/>
    </row>
    <row r="3" spans="2:14" ht="15" customHeight="1" x14ac:dyDescent="0.25">
      <c r="B3" s="153"/>
      <c r="C3" s="153"/>
      <c r="D3" s="153"/>
      <c r="E3" s="153"/>
      <c r="F3" s="153"/>
      <c r="G3" s="153"/>
      <c r="H3" s="153"/>
      <c r="I3" s="37"/>
    </row>
    <row r="4" spans="2:14" ht="15.75" x14ac:dyDescent="0.25">
      <c r="B4" s="44">
        <v>1</v>
      </c>
      <c r="C4" s="156" t="s">
        <v>1</v>
      </c>
      <c r="D4" s="156"/>
      <c r="E4" s="156"/>
      <c r="F4" s="156"/>
      <c r="G4" s="157" t="s">
        <v>2</v>
      </c>
      <c r="H4" s="157"/>
      <c r="I4" s="34"/>
      <c r="J4" s="34"/>
      <c r="K4" s="34"/>
      <c r="L4" s="34"/>
    </row>
    <row r="5" spans="2:14" ht="15.75" x14ac:dyDescent="0.25">
      <c r="B5" s="44">
        <v>2</v>
      </c>
      <c r="C5" s="156" t="s">
        <v>3</v>
      </c>
      <c r="D5" s="156"/>
      <c r="E5" s="156"/>
      <c r="F5" s="156"/>
      <c r="G5" s="158" t="s">
        <v>4</v>
      </c>
      <c r="H5" s="158"/>
      <c r="I5" s="34"/>
      <c r="J5" s="34"/>
      <c r="K5" s="34"/>
      <c r="L5" s="34"/>
    </row>
    <row r="6" spans="2:14" ht="15.75" x14ac:dyDescent="0.25">
      <c r="B6" s="44">
        <v>3</v>
      </c>
      <c r="C6" s="33" t="s">
        <v>5</v>
      </c>
      <c r="D6" s="35"/>
      <c r="E6" s="35"/>
      <c r="F6" s="35"/>
      <c r="G6" s="35"/>
      <c r="H6" s="35"/>
      <c r="I6" s="35"/>
      <c r="J6" s="35"/>
      <c r="K6" s="35"/>
      <c r="L6" s="35"/>
    </row>
    <row r="7" spans="2:14" ht="15.75" x14ac:dyDescent="0.25">
      <c r="B7" s="44">
        <v>4</v>
      </c>
      <c r="C7" s="33" t="s">
        <v>6</v>
      </c>
      <c r="D7" s="36"/>
      <c r="E7" s="36"/>
      <c r="F7" s="36"/>
      <c r="G7" s="36"/>
      <c r="H7" s="36"/>
      <c r="I7" s="36"/>
      <c r="J7" s="36"/>
      <c r="K7" s="36"/>
      <c r="L7" s="36"/>
    </row>
    <row r="8" spans="2:14" ht="15.75" x14ac:dyDescent="0.25">
      <c r="B8" s="44">
        <v>5</v>
      </c>
      <c r="C8" s="43" t="s">
        <v>7</v>
      </c>
      <c r="D8" s="33"/>
      <c r="E8" s="33"/>
      <c r="F8" s="33"/>
      <c r="G8" s="33"/>
      <c r="H8" s="33"/>
      <c r="I8" s="33"/>
      <c r="J8" s="33"/>
      <c r="K8" s="33"/>
      <c r="L8" s="33"/>
    </row>
    <row r="9" spans="2:14" ht="15.75" x14ac:dyDescent="0.25">
      <c r="B9" s="44">
        <v>6</v>
      </c>
      <c r="C9" s="33" t="s">
        <v>8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</row>
    <row r="10" spans="2:14" ht="15.75" x14ac:dyDescent="0.25">
      <c r="B10" s="32"/>
      <c r="C10" s="32"/>
      <c r="D10" s="32"/>
    </row>
    <row r="11" spans="2:14" ht="15.75" x14ac:dyDescent="0.25">
      <c r="B11" s="32"/>
      <c r="C11" s="32"/>
      <c r="D11" s="32"/>
    </row>
    <row r="12" spans="2:14" ht="15.75" x14ac:dyDescent="0.25">
      <c r="B12" s="32"/>
      <c r="C12" s="32"/>
      <c r="D12" s="32"/>
    </row>
    <row r="13" spans="2:14" ht="15.75" x14ac:dyDescent="0.25">
      <c r="B13" s="32"/>
      <c r="C13" s="32"/>
      <c r="D13" s="32"/>
    </row>
    <row r="14" spans="2:14" ht="15.75" x14ac:dyDescent="0.25">
      <c r="B14" s="32"/>
      <c r="C14" s="32"/>
      <c r="D14" s="32"/>
    </row>
    <row r="18" spans="2:12" ht="15" customHeight="1" x14ac:dyDescent="0.25"/>
    <row r="19" spans="2:12" ht="15" customHeight="1" x14ac:dyDescent="0.25"/>
    <row r="20" spans="2:12" ht="15" customHeight="1" thickBot="1" x14ac:dyDescent="0.3"/>
    <row r="21" spans="2:12" ht="15" customHeight="1" thickBot="1" x14ac:dyDescent="0.3">
      <c r="H21" s="76" t="s">
        <v>9</v>
      </c>
      <c r="I21" s="77"/>
      <c r="J21" s="77"/>
      <c r="K21" s="77"/>
      <c r="L21" s="78"/>
    </row>
    <row r="22" spans="2:12" ht="45" customHeight="1" x14ac:dyDescent="0.25"/>
    <row r="23" spans="2:12" x14ac:dyDescent="0.25">
      <c r="B23" s="47" t="s">
        <v>10</v>
      </c>
      <c r="C23" s="48" t="s">
        <v>11</v>
      </c>
    </row>
    <row r="24" spans="2:12" ht="15" customHeight="1" x14ac:dyDescent="0.25">
      <c r="C24" s="165" t="s">
        <v>12</v>
      </c>
      <c r="D24" s="166"/>
    </row>
    <row r="25" spans="2:12" ht="15" customHeight="1" x14ac:dyDescent="0.25">
      <c r="C25" s="47"/>
      <c r="D25" s="47"/>
    </row>
    <row r="30" spans="2:12" ht="24" customHeight="1" x14ac:dyDescent="0.25"/>
    <row r="31" spans="2:12" ht="45" customHeight="1" x14ac:dyDescent="0.25"/>
    <row r="35" spans="2:20" ht="18" customHeight="1" x14ac:dyDescent="0.25"/>
    <row r="36" spans="2:20" ht="15.75" customHeight="1" x14ac:dyDescent="0.25">
      <c r="B36" s="169" t="s">
        <v>13</v>
      </c>
      <c r="C36" s="169"/>
      <c r="D36" s="169"/>
      <c r="E36" s="169"/>
      <c r="F36" s="169"/>
      <c r="H36" s="169" t="s">
        <v>14</v>
      </c>
      <c r="I36" s="169"/>
      <c r="J36" s="169"/>
      <c r="K36" s="169"/>
      <c r="L36" s="169"/>
    </row>
    <row r="37" spans="2:20" ht="15.75" customHeight="1" x14ac:dyDescent="0.25">
      <c r="B37" s="169"/>
      <c r="C37" s="169"/>
      <c r="D37" s="169"/>
      <c r="E37" s="169"/>
      <c r="F37" s="169"/>
      <c r="H37" s="169"/>
      <c r="I37" s="169"/>
      <c r="J37" s="169"/>
      <c r="K37" s="169"/>
      <c r="L37" s="169"/>
    </row>
    <row r="38" spans="2:20" x14ac:dyDescent="0.25">
      <c r="B38" s="169"/>
      <c r="C38" s="169"/>
      <c r="D38" s="169"/>
      <c r="E38" s="169"/>
      <c r="F38" s="169"/>
      <c r="H38" s="169"/>
      <c r="I38" s="169"/>
      <c r="J38" s="169"/>
      <c r="K38" s="169"/>
      <c r="L38" s="169"/>
    </row>
    <row r="39" spans="2:20" x14ac:dyDescent="0.25">
      <c r="B39" s="47" t="s">
        <v>10</v>
      </c>
      <c r="C39" s="48" t="s">
        <v>11</v>
      </c>
      <c r="H39" s="47" t="s">
        <v>10</v>
      </c>
      <c r="I39" s="48" t="s">
        <v>11</v>
      </c>
    </row>
    <row r="40" spans="2:20" x14ac:dyDescent="0.25">
      <c r="C40" s="170" t="s">
        <v>12</v>
      </c>
      <c r="D40" s="170"/>
      <c r="I40" s="170" t="s">
        <v>12</v>
      </c>
      <c r="J40" s="170"/>
    </row>
    <row r="41" spans="2:20" x14ac:dyDescent="0.25">
      <c r="C41" s="46" t="s">
        <v>15</v>
      </c>
      <c r="I41" s="170" t="s">
        <v>16</v>
      </c>
      <c r="J41" s="170"/>
    </row>
    <row r="43" spans="2:20" ht="28.5" x14ac:dyDescent="0.25">
      <c r="C43" s="159" t="s">
        <v>17</v>
      </c>
      <c r="D43" s="160"/>
      <c r="E43" s="160"/>
      <c r="F43" s="160"/>
      <c r="G43" s="160"/>
      <c r="H43" s="160"/>
      <c r="I43" s="161"/>
      <c r="J43" s="37"/>
      <c r="N43" s="159" t="s">
        <v>18</v>
      </c>
      <c r="O43" s="160"/>
      <c r="P43" s="160"/>
      <c r="Q43" s="160"/>
      <c r="R43" s="160"/>
      <c r="S43" s="160"/>
      <c r="T43" s="161"/>
    </row>
    <row r="44" spans="2:20" ht="28.5" x14ac:dyDescent="0.25">
      <c r="C44" s="162"/>
      <c r="D44" s="163"/>
      <c r="E44" s="163"/>
      <c r="F44" s="163"/>
      <c r="G44" s="163"/>
      <c r="H44" s="163"/>
      <c r="I44" s="164"/>
      <c r="J44" s="37"/>
      <c r="N44" s="162"/>
      <c r="O44" s="163"/>
      <c r="P44" s="163"/>
      <c r="Q44" s="163"/>
      <c r="R44" s="163"/>
      <c r="S44" s="163"/>
      <c r="T44" s="164"/>
    </row>
    <row r="45" spans="2:20" ht="28.5" x14ac:dyDescent="0.25">
      <c r="C45" s="40"/>
      <c r="D45" s="40"/>
      <c r="E45" s="41"/>
      <c r="F45" s="41"/>
      <c r="G45" s="41"/>
      <c r="H45" s="41"/>
      <c r="I45" s="41"/>
      <c r="J45" s="37"/>
      <c r="N45" s="41"/>
      <c r="O45" s="41"/>
      <c r="P45" s="41"/>
      <c r="Q45" s="41"/>
      <c r="R45" s="41"/>
      <c r="S45" s="41"/>
      <c r="T45" s="41"/>
    </row>
    <row r="46" spans="2:20" ht="15" customHeight="1" x14ac:dyDescent="0.25">
      <c r="C46" s="154" t="s">
        <v>19</v>
      </c>
      <c r="D46" s="154"/>
      <c r="N46" s="154" t="s">
        <v>20</v>
      </c>
      <c r="O46" s="154"/>
    </row>
    <row r="47" spans="2:20" ht="45" x14ac:dyDescent="0.25">
      <c r="C47" s="23" t="s">
        <v>21</v>
      </c>
      <c r="D47" s="23" t="s">
        <v>22</v>
      </c>
      <c r="E47" s="23" t="s">
        <v>23</v>
      </c>
      <c r="F47" s="23" t="s">
        <v>24</v>
      </c>
      <c r="G47" s="23" t="s">
        <v>25</v>
      </c>
      <c r="H47" s="23" t="s">
        <v>26</v>
      </c>
      <c r="I47" s="23" t="s">
        <v>27</v>
      </c>
      <c r="J47" s="23" t="s">
        <v>28</v>
      </c>
      <c r="K47" s="23" t="s">
        <v>29</v>
      </c>
      <c r="N47" s="28" t="s">
        <v>30</v>
      </c>
      <c r="O47" s="23" t="s">
        <v>31</v>
      </c>
      <c r="P47" s="23" t="s">
        <v>32</v>
      </c>
      <c r="Q47" s="23" t="s">
        <v>33</v>
      </c>
      <c r="R47" s="23" t="s">
        <v>34</v>
      </c>
    </row>
    <row r="48" spans="2:20" x14ac:dyDescent="0.25">
      <c r="C48" s="38">
        <v>1.0069999999999999</v>
      </c>
      <c r="D48" s="38">
        <v>4500</v>
      </c>
      <c r="E48" s="38">
        <v>951</v>
      </c>
      <c r="F48" s="38">
        <v>3.53</v>
      </c>
      <c r="G48" s="38">
        <v>7.3</v>
      </c>
      <c r="H48" s="38">
        <v>2.4369999999999998</v>
      </c>
      <c r="I48" s="38">
        <v>8.74</v>
      </c>
      <c r="J48" s="38">
        <v>0.87</v>
      </c>
      <c r="K48" s="38">
        <v>0.314</v>
      </c>
      <c r="N48" s="42">
        <f>'Aero Force Calculations'!H27</f>
        <v>6.1358993234569121</v>
      </c>
      <c r="O48" s="27">
        <f>'Aero Force Calculations'!H31</f>
        <v>54.588070113635581</v>
      </c>
      <c r="P48" s="27">
        <f>'Aero Force Calculations'!H38</f>
        <v>255.37071171882184</v>
      </c>
      <c r="Q48" s="49">
        <f>'Aero Force Calculations'!H42</f>
        <v>152.95175478308866</v>
      </c>
      <c r="R48" s="42">
        <f>'Aero Force Calculations'!H45</f>
        <v>55.203277013666487</v>
      </c>
    </row>
    <row r="49" spans="3:20" x14ac:dyDescent="0.25">
      <c r="D49" s="39"/>
      <c r="E49" s="24"/>
      <c r="F49" s="24"/>
      <c r="G49" s="24"/>
      <c r="H49" s="24"/>
      <c r="I49" s="24"/>
      <c r="J49" s="24"/>
      <c r="K49" s="24"/>
      <c r="N49" s="24"/>
    </row>
    <row r="50" spans="3:20" x14ac:dyDescent="0.25">
      <c r="C50" s="154" t="s">
        <v>35</v>
      </c>
      <c r="D50" s="154"/>
      <c r="K50" s="24"/>
      <c r="N50" s="154" t="s">
        <v>36</v>
      </c>
      <c r="O50" s="154"/>
    </row>
    <row r="51" spans="3:20" ht="60" x14ac:dyDescent="0.25">
      <c r="C51" s="23" t="s">
        <v>37</v>
      </c>
      <c r="D51" s="23" t="s">
        <v>38</v>
      </c>
      <c r="E51" s="23" t="s">
        <v>39</v>
      </c>
      <c r="F51" s="23" t="s">
        <v>40</v>
      </c>
      <c r="G51" s="75" t="s">
        <v>41</v>
      </c>
      <c r="H51" s="23" t="s">
        <v>42</v>
      </c>
      <c r="I51" s="23" t="s">
        <v>43</v>
      </c>
      <c r="J51" s="23" t="s">
        <v>44</v>
      </c>
      <c r="K51" s="23" t="s">
        <v>45</v>
      </c>
      <c r="N51" s="23" t="s">
        <v>46</v>
      </c>
      <c r="O51" s="23" t="s">
        <v>47</v>
      </c>
      <c r="P51" s="23" t="s">
        <v>48</v>
      </c>
      <c r="Q51" s="23" t="s">
        <v>49</v>
      </c>
    </row>
    <row r="52" spans="3:20" x14ac:dyDescent="0.25">
      <c r="C52" s="38">
        <v>122</v>
      </c>
      <c r="D52" s="38">
        <v>212</v>
      </c>
      <c r="E52" s="38">
        <v>6.04</v>
      </c>
      <c r="F52" s="38">
        <v>6.04</v>
      </c>
      <c r="G52" s="38">
        <v>5.7960000000000003</v>
      </c>
      <c r="H52" s="38">
        <v>5.976</v>
      </c>
      <c r="I52" s="38">
        <v>13.938000000000001</v>
      </c>
      <c r="J52" s="38">
        <v>129</v>
      </c>
      <c r="K52" s="38">
        <v>205.96299999999999</v>
      </c>
      <c r="N52" s="27">
        <f>'Aero Force Calculations'!H49</f>
        <v>-0.13083675542682316</v>
      </c>
      <c r="O52" s="27">
        <f>'Aero Force Calculations'!H52</f>
        <v>4.2229788415911358</v>
      </c>
      <c r="P52" s="27">
        <f>'Aero Force Calculations'!H64</f>
        <v>69.642408866556707</v>
      </c>
      <c r="Q52" s="50">
        <f>'Aero Force Calculations'!H68</f>
        <v>230.53367975233741</v>
      </c>
    </row>
    <row r="53" spans="3:20" x14ac:dyDescent="0.25">
      <c r="C53" s="24"/>
      <c r="D53" s="24"/>
      <c r="E53" s="24"/>
      <c r="F53" s="24"/>
      <c r="G53" s="24"/>
      <c r="H53" s="24"/>
      <c r="I53" s="24"/>
      <c r="J53" s="24"/>
      <c r="K53" s="24"/>
      <c r="N53" s="24"/>
    </row>
    <row r="54" spans="3:20" ht="15" customHeight="1" x14ac:dyDescent="0.25">
      <c r="C54" s="154" t="s">
        <v>50</v>
      </c>
      <c r="D54" s="154"/>
      <c r="N54" s="154" t="s">
        <v>51</v>
      </c>
      <c r="O54" s="154"/>
      <c r="P54" s="154"/>
    </row>
    <row r="55" spans="3:20" ht="60" x14ac:dyDescent="0.25">
      <c r="C55" s="23" t="s">
        <v>52</v>
      </c>
      <c r="D55" s="23" t="s">
        <v>53</v>
      </c>
      <c r="E55" s="23" t="s">
        <v>54</v>
      </c>
      <c r="N55" s="23" t="s">
        <v>55</v>
      </c>
      <c r="O55" s="23" t="s">
        <v>56</v>
      </c>
      <c r="P55" s="23" t="s">
        <v>57</v>
      </c>
    </row>
    <row r="56" spans="3:20" x14ac:dyDescent="0.25">
      <c r="C56" s="38">
        <v>8</v>
      </c>
      <c r="D56" s="38">
        <v>5</v>
      </c>
      <c r="E56" s="38">
        <v>5.75</v>
      </c>
      <c r="N56" s="27">
        <f>'Aero Force Calculations'!AP32</f>
        <v>7142.7861083279604</v>
      </c>
      <c r="O56" s="27">
        <f>'Aero Force Calculations'!H72</f>
        <v>-11387.692200903839</v>
      </c>
      <c r="P56" s="50">
        <f>'Aero Force Calculations'!AP33</f>
        <v>115</v>
      </c>
    </row>
    <row r="57" spans="3:20" x14ac:dyDescent="0.25">
      <c r="O57" s="24"/>
    </row>
    <row r="59" spans="3:20" ht="15" customHeight="1" x14ac:dyDescent="0.25">
      <c r="C59" s="154" t="s">
        <v>58</v>
      </c>
      <c r="D59" s="154"/>
      <c r="E59" s="24"/>
      <c r="H59" s="24"/>
      <c r="I59" s="24"/>
      <c r="J59" s="24"/>
      <c r="N59" s="154" t="s">
        <v>59</v>
      </c>
      <c r="O59" s="154"/>
      <c r="P59" s="154"/>
    </row>
    <row r="60" spans="3:20" ht="60" x14ac:dyDescent="0.25">
      <c r="C60" s="23" t="s">
        <v>60</v>
      </c>
      <c r="H60" s="24"/>
      <c r="I60" s="24"/>
      <c r="N60" s="23" t="s">
        <v>61</v>
      </c>
      <c r="O60" s="23" t="s">
        <v>62</v>
      </c>
      <c r="P60" s="23" t="s">
        <v>63</v>
      </c>
    </row>
    <row r="61" spans="3:20" x14ac:dyDescent="0.25">
      <c r="C61" s="38">
        <v>530</v>
      </c>
      <c r="H61" s="24"/>
      <c r="I61" s="24"/>
      <c r="N61" s="27">
        <f>'Aero Force Calculations'!AQ32</f>
        <v>7162.9447869013529</v>
      </c>
      <c r="O61" s="27">
        <f>'Aero Force Calculations'!H75</f>
        <v>17387.964861922559</v>
      </c>
      <c r="P61" s="27">
        <f>'Aero Force Calculations'!AQ33</f>
        <v>115</v>
      </c>
    </row>
    <row r="62" spans="3:20" x14ac:dyDescent="0.25">
      <c r="O62" s="22">
        <f>O61/12</f>
        <v>1448.9970718268798</v>
      </c>
    </row>
    <row r="64" spans="3:20" x14ac:dyDescent="0.25">
      <c r="C64" s="154" t="s">
        <v>64</v>
      </c>
      <c r="D64" s="154"/>
      <c r="N64" s="154" t="s">
        <v>65</v>
      </c>
      <c r="O64" s="154"/>
      <c r="P64" s="154"/>
      <c r="Q64" s="167" t="s">
        <v>66</v>
      </c>
      <c r="R64" s="168"/>
      <c r="S64" s="168"/>
      <c r="T64" s="168"/>
    </row>
    <row r="65" spans="3:20" ht="30" x14ac:dyDescent="0.25">
      <c r="C65" s="64" t="s">
        <v>67</v>
      </c>
      <c r="D65" s="64" t="s">
        <v>68</v>
      </c>
      <c r="E65" s="64" t="s">
        <v>69</v>
      </c>
      <c r="N65" s="72" t="s">
        <v>70</v>
      </c>
    </row>
    <row r="66" spans="3:20" x14ac:dyDescent="0.25">
      <c r="C66" s="42" t="s">
        <v>71</v>
      </c>
      <c r="D66" s="42">
        <v>0.2</v>
      </c>
      <c r="E66" s="42">
        <f>'Bolt Sizing'!I40</f>
        <v>32.761105800515075</v>
      </c>
      <c r="N66" s="73">
        <f>'Aero Force Calculations'!H118</f>
        <v>540.93447928984222</v>
      </c>
    </row>
    <row r="67" spans="3:20" x14ac:dyDescent="0.25">
      <c r="L67" s="24"/>
    </row>
    <row r="68" spans="3:20" ht="23.25" x14ac:dyDescent="0.25">
      <c r="C68" s="171" t="s">
        <v>72</v>
      </c>
      <c r="D68" s="172"/>
      <c r="E68" s="172"/>
      <c r="F68" s="173"/>
      <c r="H68" s="171" t="s">
        <v>73</v>
      </c>
      <c r="I68" s="172"/>
      <c r="J68" s="172"/>
      <c r="K68" s="173"/>
    </row>
    <row r="69" spans="3:20" ht="64.5" customHeight="1" x14ac:dyDescent="0.25">
      <c r="C69" s="90" t="s">
        <v>74</v>
      </c>
      <c r="D69" s="90" t="s">
        <v>75</v>
      </c>
      <c r="E69" s="90" t="s">
        <v>76</v>
      </c>
      <c r="H69" s="90" t="s">
        <v>74</v>
      </c>
      <c r="I69" s="90" t="s">
        <v>75</v>
      </c>
      <c r="J69" s="90" t="s">
        <v>76</v>
      </c>
      <c r="N69" s="23" t="s">
        <v>77</v>
      </c>
    </row>
    <row r="70" spans="3:20" ht="15" customHeight="1" x14ac:dyDescent="0.25">
      <c r="C70" s="42">
        <f>'Bolt Sizing'!H36</f>
        <v>0.61048000399563906</v>
      </c>
      <c r="D70" s="42">
        <f>'Bolt Sizing'!I36</f>
        <v>24.419200159825564</v>
      </c>
      <c r="E70" s="42" t="s">
        <v>301</v>
      </c>
      <c r="H70" s="42">
        <f>'Bolt Sizing'!H50</f>
        <v>4.0515773076072174E-2</v>
      </c>
      <c r="I70" s="42">
        <f>'Bolt Sizing'!I50</f>
        <v>7.0902602883126303E-2</v>
      </c>
      <c r="J70" s="42">
        <f>'Bolt Sizing'!J50</f>
        <v>0</v>
      </c>
      <c r="N70" s="27">
        <f>'Aero Force Calculations'!H122</f>
        <v>14137.335053950221</v>
      </c>
    </row>
    <row r="71" spans="3:20" ht="15.75" customHeight="1" x14ac:dyDescent="0.25">
      <c r="P71" s="24"/>
      <c r="T71" s="22" t="s">
        <v>78</v>
      </c>
    </row>
    <row r="72" spans="3:20" x14ac:dyDescent="0.25">
      <c r="P72" s="24"/>
    </row>
    <row r="73" spans="3:20" ht="45" x14ac:dyDescent="0.25">
      <c r="C73" s="23" t="s">
        <v>79</v>
      </c>
      <c r="D73" s="23" t="s">
        <v>80</v>
      </c>
      <c r="E73" s="23" t="s">
        <v>69</v>
      </c>
      <c r="H73" s="23" t="s">
        <v>79</v>
      </c>
      <c r="I73" s="23" t="s">
        <v>80</v>
      </c>
      <c r="J73" s="23" t="s">
        <v>69</v>
      </c>
      <c r="N73" s="23" t="s">
        <v>81</v>
      </c>
    </row>
    <row r="74" spans="3:20" ht="15" customHeight="1" x14ac:dyDescent="0.25">
      <c r="C74" s="42">
        <f>'Bolt Sizing'!G40</f>
        <v>9165.9177295567733</v>
      </c>
      <c r="D74" s="42">
        <f>'Bolt Sizing'!H40</f>
        <v>1282.0080083908422</v>
      </c>
      <c r="E74" s="42">
        <f>'Bolt Sizing'!I40</f>
        <v>32.761105800515075</v>
      </c>
      <c r="H74" s="42">
        <f>'Bolt Sizing'!G54</f>
        <v>1216.6303247741484</v>
      </c>
      <c r="I74" s="42">
        <f>'Bolt Sizing'!H54</f>
        <v>170.16624691950312</v>
      </c>
      <c r="J74" s="42">
        <f>'Bolt Sizing'!I54</f>
        <v>246.81745504952011</v>
      </c>
      <c r="N74" s="27">
        <f>'Aero Force Calculations'!H114</f>
        <v>421.38556603974877</v>
      </c>
    </row>
    <row r="75" spans="3:20" x14ac:dyDescent="0.25">
      <c r="P75" s="24"/>
    </row>
    <row r="77" spans="3:20" ht="45" x14ac:dyDescent="0.25">
      <c r="C77" s="171" t="s">
        <v>82</v>
      </c>
      <c r="D77" s="172"/>
      <c r="E77" s="172"/>
      <c r="F77" s="173"/>
      <c r="H77" s="171" t="s">
        <v>83</v>
      </c>
      <c r="I77" s="172"/>
      <c r="J77" s="172"/>
      <c r="K77" s="173"/>
      <c r="N77" s="23" t="s">
        <v>84</v>
      </c>
      <c r="O77" s="23" t="s">
        <v>85</v>
      </c>
      <c r="R77" s="23" t="s">
        <v>86</v>
      </c>
    </row>
    <row r="78" spans="3:20" ht="30" x14ac:dyDescent="0.25">
      <c r="C78" s="90" t="s">
        <v>87</v>
      </c>
      <c r="D78" s="90" t="s">
        <v>88</v>
      </c>
      <c r="H78" s="90" t="s">
        <v>87</v>
      </c>
      <c r="I78" s="90" t="s">
        <v>88</v>
      </c>
      <c r="N78" s="27">
        <f>'Aero Force Calculations'!H125</f>
        <v>20385.647935217585</v>
      </c>
      <c r="O78" s="27">
        <f>'Bolt Sizing'!G18</f>
        <v>25640.160167816841</v>
      </c>
      <c r="R78" s="27">
        <f>'Laminator Calcs'!F8</f>
        <v>1.2577554684205907</v>
      </c>
    </row>
    <row r="79" spans="3:20" x14ac:dyDescent="0.25">
      <c r="C79" s="27">
        <f>'Bolt Sizing'!F44</f>
        <v>41024.25626850695</v>
      </c>
      <c r="D79" s="27">
        <f>'Bolt Sizing'!G71</f>
        <v>0.85315379688841342</v>
      </c>
      <c r="H79" s="27">
        <f>'Bolt Sizing'!F58</f>
        <v>2062.6211747818561</v>
      </c>
      <c r="I79" s="27">
        <f>'Bolt Sizing'!G75</f>
        <v>17.453520035644637</v>
      </c>
    </row>
    <row r="80" spans="3:20" ht="15" customHeight="1" x14ac:dyDescent="0.25"/>
    <row r="81" spans="3:16" ht="27" customHeight="1" x14ac:dyDescent="0.25">
      <c r="N81" s="154" t="s">
        <v>89</v>
      </c>
      <c r="O81" s="154"/>
      <c r="P81" s="154"/>
    </row>
    <row r="82" spans="3:16" ht="45" customHeight="1" x14ac:dyDescent="0.25">
      <c r="C82" s="23" t="s">
        <v>90</v>
      </c>
      <c r="H82" s="23" t="s">
        <v>90</v>
      </c>
      <c r="N82" s="23" t="s">
        <v>91</v>
      </c>
      <c r="O82" s="23" t="s">
        <v>92</v>
      </c>
    </row>
    <row r="83" spans="3:16" ht="15" customHeight="1" x14ac:dyDescent="0.25">
      <c r="C83" s="27">
        <f>'Bolt Sizing'!G100</f>
        <v>0.375</v>
      </c>
      <c r="H83" s="27">
        <f>'Bolt Sizing'!G100</f>
        <v>0.375</v>
      </c>
      <c r="N83" s="27">
        <f>O83/R78</f>
        <v>1352.9358543214055</v>
      </c>
      <c r="O83" s="27">
        <f>'Snatch Force'!D6</f>
        <v>1701.6624691950315</v>
      </c>
    </row>
    <row r="86" spans="3:16" x14ac:dyDescent="0.25">
      <c r="N86" s="154" t="s">
        <v>93</v>
      </c>
      <c r="O86" s="154"/>
      <c r="P86" s="154"/>
    </row>
    <row r="87" spans="3:16" ht="60" x14ac:dyDescent="0.25">
      <c r="C87" s="23" t="s">
        <v>94</v>
      </c>
      <c r="N87" s="155" t="s">
        <v>95</v>
      </c>
      <c r="O87" s="155"/>
      <c r="P87" s="45">
        <f>'Aero Force Calculations'!H85</f>
        <v>-3461.8921690865709</v>
      </c>
    </row>
    <row r="88" spans="3:16" x14ac:dyDescent="0.25">
      <c r="C88" s="27" t="e">
        <f>((2*PI())/E70)*(F52/2)</f>
        <v>#VALUE!</v>
      </c>
      <c r="N88" s="155" t="s">
        <v>96</v>
      </c>
      <c r="O88" s="155"/>
      <c r="P88" s="45">
        <f>'Aero Force Calculations'!H86</f>
        <v>5285.9928359377745</v>
      </c>
    </row>
    <row r="91" spans="3:16" x14ac:dyDescent="0.25">
      <c r="K91" s="24"/>
      <c r="L91" s="24"/>
      <c r="N91" s="176" t="s">
        <v>97</v>
      </c>
      <c r="O91" s="177"/>
    </row>
    <row r="92" spans="3:16" ht="45" x14ac:dyDescent="0.25">
      <c r="E92" s="22" t="s">
        <v>98</v>
      </c>
      <c r="G92" s="22" t="s">
        <v>99</v>
      </c>
      <c r="I92" s="22" t="s">
        <v>100</v>
      </c>
      <c r="K92" s="22" t="s">
        <v>101</v>
      </c>
      <c r="N92" s="174" t="s">
        <v>102</v>
      </c>
      <c r="O92" s="175"/>
      <c r="P92" s="23" t="s">
        <v>103</v>
      </c>
    </row>
    <row r="93" spans="3:16" x14ac:dyDescent="0.25">
      <c r="E93" s="22">
        <f>3.65554*10^-7</f>
        <v>3.6555399999999994E-7</v>
      </c>
      <c r="G93" s="22">
        <v>5.6</v>
      </c>
      <c r="I93" s="22">
        <v>6.7865239999999993E-2</v>
      </c>
      <c r="K93" s="130">
        <f>(I93*E48*G94) / (E93)</f>
        <v>82391639.845275939</v>
      </c>
      <c r="N93" s="23" t="s">
        <v>104</v>
      </c>
      <c r="O93" s="27">
        <f>'Bolt Sizing'!G40</f>
        <v>9165.9177295567733</v>
      </c>
      <c r="P93" s="27">
        <f>'Bolt Sizing'!F44</f>
        <v>41024.25626850695</v>
      </c>
    </row>
    <row r="94" spans="3:16" x14ac:dyDescent="0.25">
      <c r="G94" s="22">
        <f>G93/12</f>
        <v>0.46666666666666662</v>
      </c>
      <c r="N94" s="23" t="s">
        <v>105</v>
      </c>
      <c r="O94" s="27">
        <f>'Bolt Sizing'!H40</f>
        <v>1282.0080083908422</v>
      </c>
    </row>
    <row r="97" spans="2:41" x14ac:dyDescent="0.25">
      <c r="N97" s="174" t="s">
        <v>90</v>
      </c>
      <c r="O97" s="175"/>
    </row>
    <row r="98" spans="2:41" x14ac:dyDescent="0.25">
      <c r="N98" s="23" t="s">
        <v>106</v>
      </c>
      <c r="O98" s="27">
        <f>'Bolt Sizing'!G100</f>
        <v>0.375</v>
      </c>
    </row>
    <row r="99" spans="2:41" x14ac:dyDescent="0.25">
      <c r="N99" s="23" t="s">
        <v>107</v>
      </c>
      <c r="O99" s="27">
        <f>'Bolt Sizing'!G86</f>
        <v>9.1900215655257508E-2</v>
      </c>
      <c r="AN99" s="24"/>
      <c r="AO99" s="24"/>
    </row>
    <row r="104" spans="2:41" x14ac:dyDescent="0.25">
      <c r="B104" s="24"/>
    </row>
    <row r="105" spans="2:41" x14ac:dyDescent="0.25">
      <c r="B105" s="24"/>
    </row>
    <row r="106" spans="2:41" x14ac:dyDescent="0.25">
      <c r="B106" s="24"/>
    </row>
    <row r="107" spans="2:41" x14ac:dyDescent="0.25">
      <c r="B107" s="24"/>
    </row>
    <row r="108" spans="2:41" x14ac:dyDescent="0.25">
      <c r="B108" s="24"/>
    </row>
    <row r="109" spans="2:41" x14ac:dyDescent="0.25">
      <c r="B109" s="24"/>
    </row>
    <row r="110" spans="2:41" x14ac:dyDescent="0.25">
      <c r="B110" s="24"/>
    </row>
    <row r="111" spans="2:41" x14ac:dyDescent="0.25">
      <c r="B111" s="24"/>
    </row>
    <row r="112" spans="2:41" x14ac:dyDescent="0.25">
      <c r="B112" s="24"/>
    </row>
    <row r="113" spans="2:2" x14ac:dyDescent="0.25">
      <c r="B113" s="24"/>
    </row>
    <row r="114" spans="2:2" x14ac:dyDescent="0.25">
      <c r="B114" s="24"/>
    </row>
    <row r="115" spans="2:2" x14ac:dyDescent="0.25">
      <c r="B115" s="24"/>
    </row>
    <row r="116" spans="2:2" x14ac:dyDescent="0.25">
      <c r="B116" s="24"/>
    </row>
    <row r="117" spans="2:2" x14ac:dyDescent="0.25">
      <c r="B117" s="24"/>
    </row>
    <row r="118" spans="2:2" x14ac:dyDescent="0.25">
      <c r="B118" s="24"/>
    </row>
    <row r="119" spans="2:2" x14ac:dyDescent="0.25">
      <c r="B119" s="24"/>
    </row>
    <row r="120" spans="2:2" x14ac:dyDescent="0.25">
      <c r="B120" s="24"/>
    </row>
    <row r="121" spans="2:2" x14ac:dyDescent="0.25">
      <c r="B121" s="24"/>
    </row>
    <row r="122" spans="2:2" x14ac:dyDescent="0.25">
      <c r="B122" s="24"/>
    </row>
    <row r="123" spans="2:2" x14ac:dyDescent="0.25">
      <c r="B123" s="24"/>
    </row>
    <row r="124" spans="2:2" x14ac:dyDescent="0.25">
      <c r="B124" s="24"/>
    </row>
    <row r="125" spans="2:2" x14ac:dyDescent="0.25">
      <c r="B125" s="24"/>
    </row>
    <row r="126" spans="2:2" x14ac:dyDescent="0.25">
      <c r="B126" s="24"/>
    </row>
    <row r="127" spans="2:2" x14ac:dyDescent="0.25">
      <c r="B127" s="24"/>
    </row>
    <row r="128" spans="2:2" x14ac:dyDescent="0.25">
      <c r="B128" s="24"/>
    </row>
    <row r="129" spans="2:2" x14ac:dyDescent="0.25">
      <c r="B129" s="24"/>
    </row>
    <row r="130" spans="2:2" ht="30" x14ac:dyDescent="0.25">
      <c r="B130" s="23" t="s">
        <v>70</v>
      </c>
    </row>
    <row r="131" spans="2:2" x14ac:dyDescent="0.25">
      <c r="B131" s="27" t="e">
        <f>#REF!/A131</f>
        <v>#REF!</v>
      </c>
    </row>
    <row r="132" spans="2:2" x14ac:dyDescent="0.25">
      <c r="B132" s="24"/>
    </row>
    <row r="133" spans="2:2" x14ac:dyDescent="0.25">
      <c r="B133" s="24"/>
    </row>
    <row r="134" spans="2:2" ht="45" x14ac:dyDescent="0.25">
      <c r="B134" s="23" t="s">
        <v>77</v>
      </c>
    </row>
    <row r="135" spans="2:2" x14ac:dyDescent="0.25">
      <c r="B135" s="27" t="e">
        <f>((#REF!*#REF!)*(1+#REF!))/A135</f>
        <v>#REF!</v>
      </c>
    </row>
    <row r="136" spans="2:2" x14ac:dyDescent="0.25">
      <c r="B136" s="24"/>
    </row>
    <row r="137" spans="2:2" ht="45" x14ac:dyDescent="0.25">
      <c r="B137" s="23" t="s">
        <v>84</v>
      </c>
    </row>
    <row r="138" spans="2:2" x14ac:dyDescent="0.25">
      <c r="B138" s="27" t="e">
        <f>SUM(#REF!)</f>
        <v>#REF!</v>
      </c>
    </row>
  </sheetData>
  <mergeCells count="35">
    <mergeCell ref="N92:O92"/>
    <mergeCell ref="N97:O97"/>
    <mergeCell ref="N81:P81"/>
    <mergeCell ref="N91:O91"/>
    <mergeCell ref="N64:P64"/>
    <mergeCell ref="C68:F68"/>
    <mergeCell ref="C77:F77"/>
    <mergeCell ref="H68:K68"/>
    <mergeCell ref="H77:K77"/>
    <mergeCell ref="N50:O50"/>
    <mergeCell ref="N54:P54"/>
    <mergeCell ref="C59:D59"/>
    <mergeCell ref="Q64:T64"/>
    <mergeCell ref="B36:F38"/>
    <mergeCell ref="H36:L38"/>
    <mergeCell ref="C40:D40"/>
    <mergeCell ref="I40:J40"/>
    <mergeCell ref="I41:J41"/>
    <mergeCell ref="C54:D54"/>
    <mergeCell ref="B2:H3"/>
    <mergeCell ref="C50:D50"/>
    <mergeCell ref="N87:O87"/>
    <mergeCell ref="N88:O88"/>
    <mergeCell ref="N86:P86"/>
    <mergeCell ref="C4:F4"/>
    <mergeCell ref="G4:H4"/>
    <mergeCell ref="C5:F5"/>
    <mergeCell ref="G5:H5"/>
    <mergeCell ref="N59:P59"/>
    <mergeCell ref="C64:D64"/>
    <mergeCell ref="C43:I44"/>
    <mergeCell ref="C46:D46"/>
    <mergeCell ref="C24:D24"/>
    <mergeCell ref="N43:T44"/>
    <mergeCell ref="N46:O46"/>
  </mergeCells>
  <conditionalFormatting sqref="C83">
    <cfRule type="cellIs" dxfId="161" priority="17" operator="notEqual">
      <formula>0</formula>
    </cfRule>
    <cfRule type="cellIs" dxfId="160" priority="18" operator="equal">
      <formula>0</formula>
    </cfRule>
  </conditionalFormatting>
  <conditionalFormatting sqref="C88">
    <cfRule type="cellIs" dxfId="159" priority="1" operator="notEqual">
      <formula>0</formula>
    </cfRule>
    <cfRule type="cellIs" dxfId="158" priority="2" operator="equal">
      <formula>0</formula>
    </cfRule>
  </conditionalFormatting>
  <conditionalFormatting sqref="C79:D79">
    <cfRule type="cellIs" dxfId="157" priority="19" operator="notEqual">
      <formula>0</formula>
    </cfRule>
    <cfRule type="cellIs" dxfId="156" priority="20" operator="equal">
      <formula>0</formula>
    </cfRule>
  </conditionalFormatting>
  <conditionalFormatting sqref="C66:E66">
    <cfRule type="cellIs" dxfId="155" priority="13" operator="notEqual">
      <formula>0</formula>
    </cfRule>
    <cfRule type="cellIs" dxfId="154" priority="14" operator="equal">
      <formula>0</formula>
    </cfRule>
  </conditionalFormatting>
  <conditionalFormatting sqref="C70:E70">
    <cfRule type="cellIs" dxfId="153" priority="25" operator="notEqual">
      <formula>0</formula>
    </cfRule>
    <cfRule type="cellIs" dxfId="152" priority="26" operator="equal">
      <formula>0</formula>
    </cfRule>
  </conditionalFormatting>
  <conditionalFormatting sqref="C74:E74">
    <cfRule type="cellIs" dxfId="151" priority="23" operator="notEqual">
      <formula>0</formula>
    </cfRule>
    <cfRule type="cellIs" dxfId="150" priority="24" operator="equal">
      <formula>0</formula>
    </cfRule>
  </conditionalFormatting>
  <conditionalFormatting sqref="H83">
    <cfRule type="cellIs" dxfId="149" priority="3" operator="notEqual">
      <formula>0</formula>
    </cfRule>
    <cfRule type="cellIs" dxfId="148" priority="4" operator="equal">
      <formula>0</formula>
    </cfRule>
  </conditionalFormatting>
  <conditionalFormatting sqref="H79:I79">
    <cfRule type="cellIs" dxfId="147" priority="5" operator="notEqual">
      <formula>0</formula>
    </cfRule>
    <cfRule type="cellIs" dxfId="146" priority="6" operator="equal">
      <formula>0</formula>
    </cfRule>
  </conditionalFormatting>
  <conditionalFormatting sqref="H70:J70">
    <cfRule type="cellIs" dxfId="145" priority="11" operator="notEqual">
      <formula>0</formula>
    </cfRule>
    <cfRule type="cellIs" dxfId="144" priority="12" operator="equal">
      <formula>0</formula>
    </cfRule>
  </conditionalFormatting>
  <conditionalFormatting sqref="H74:J74">
    <cfRule type="cellIs" dxfId="143" priority="9" operator="notEqual">
      <formula>0</formula>
    </cfRule>
    <cfRule type="cellIs" dxfId="142" priority="10" operator="equal">
      <formula>0</formula>
    </cfRule>
  </conditionalFormatting>
  <conditionalFormatting sqref="N66 N70">
    <cfRule type="cellIs" dxfId="141" priority="53" operator="notEqual">
      <formula>0</formula>
    </cfRule>
    <cfRule type="cellIs" dxfId="140" priority="54" operator="equal">
      <formula>0</formula>
    </cfRule>
  </conditionalFormatting>
  <conditionalFormatting sqref="N74">
    <cfRule type="cellIs" dxfId="139" priority="39" operator="notEqual">
      <formula>0</formula>
    </cfRule>
    <cfRule type="cellIs" dxfId="138" priority="40" operator="equal">
      <formula>0</formula>
    </cfRule>
  </conditionalFormatting>
  <conditionalFormatting sqref="N78:O78">
    <cfRule type="cellIs" dxfId="137" priority="35" operator="notEqual">
      <formula>0</formula>
    </cfRule>
    <cfRule type="cellIs" dxfId="136" priority="36" operator="equal">
      <formula>0</formula>
    </cfRule>
  </conditionalFormatting>
  <conditionalFormatting sqref="N83:O83">
    <cfRule type="cellIs" dxfId="135" priority="27" operator="notEqual">
      <formula>0</formula>
    </cfRule>
    <cfRule type="cellIs" dxfId="134" priority="28" operator="equal">
      <formula>0</formula>
    </cfRule>
  </conditionalFormatting>
  <conditionalFormatting sqref="N52:Q52 N56:P56 N61:P61 P87:P88 B131 B135 B138">
    <cfRule type="cellIs" dxfId="133" priority="59" operator="notEqual">
      <formula>0</formula>
    </cfRule>
    <cfRule type="cellIs" dxfId="132" priority="60" operator="equal">
      <formula>0</formula>
    </cfRule>
  </conditionalFormatting>
  <conditionalFormatting sqref="N48:R48">
    <cfRule type="cellIs" dxfId="131" priority="51" operator="notEqual">
      <formula>0</formula>
    </cfRule>
    <cfRule type="cellIs" dxfId="130" priority="52" operator="equal">
      <formula>0</formula>
    </cfRule>
  </conditionalFormatting>
  <conditionalFormatting sqref="O98:O99">
    <cfRule type="cellIs" dxfId="129" priority="43" operator="notEqual">
      <formula>0</formula>
    </cfRule>
    <cfRule type="cellIs" dxfId="128" priority="44" operator="equal">
      <formula>0</formula>
    </cfRule>
  </conditionalFormatting>
  <conditionalFormatting sqref="P93 O93:O94">
    <cfRule type="cellIs" dxfId="127" priority="47" operator="notEqual">
      <formula>0</formula>
    </cfRule>
    <cfRule type="cellIs" dxfId="126" priority="48" operator="equal">
      <formula>0</formula>
    </cfRule>
  </conditionalFormatting>
  <conditionalFormatting sqref="R78">
    <cfRule type="cellIs" dxfId="125" priority="37" operator="notEqual">
      <formula>0</formula>
    </cfRule>
    <cfRule type="cellIs" dxfId="124" priority="38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47E666-2964-4B0E-A92E-AFDD3575B327}">
          <x14:formula1>
            <xm:f>'Bolt Sizing'!$M$9:$M$21</xm:f>
          </x14:formula1>
          <xm:sqref>C66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22C6-F85C-4E35-AB7D-7729C25D9119}">
  <dimension ref="B2:T9"/>
  <sheetViews>
    <sheetView workbookViewId="0">
      <selection activeCell="Q19" sqref="Q19"/>
    </sheetView>
  </sheetViews>
  <sheetFormatPr defaultRowHeight="15" x14ac:dyDescent="0.25"/>
  <cols>
    <col min="2" max="2" width="9.5703125" customWidth="1"/>
    <col min="3" max="3" width="11.140625" customWidth="1"/>
    <col min="4" max="4" width="10.5703125" customWidth="1"/>
    <col min="5" max="5" width="11.42578125" customWidth="1"/>
    <col min="7" max="7" width="10.5703125" bestFit="1" customWidth="1"/>
    <col min="8" max="8" width="17.85546875" bestFit="1" customWidth="1"/>
    <col min="9" max="9" width="8.85546875" customWidth="1"/>
    <col min="10" max="10" width="10.5703125" customWidth="1"/>
    <col min="11" max="11" width="11.140625" customWidth="1"/>
    <col min="12" max="13" width="12.140625" customWidth="1"/>
    <col min="14" max="14" width="11.140625" customWidth="1"/>
    <col min="15" max="15" width="17.140625" customWidth="1"/>
    <col min="16" max="16" width="14.42578125" bestFit="1" customWidth="1"/>
    <col min="18" max="18" width="19.140625" bestFit="1" customWidth="1"/>
    <col min="19" max="19" width="15.140625" bestFit="1" customWidth="1"/>
  </cols>
  <sheetData>
    <row r="2" spans="2:20" x14ac:dyDescent="0.25">
      <c r="B2" t="s">
        <v>244</v>
      </c>
      <c r="C2" t="s">
        <v>364</v>
      </c>
      <c r="D2" t="s">
        <v>501</v>
      </c>
      <c r="E2" t="s">
        <v>505</v>
      </c>
      <c r="H2" t="s">
        <v>506</v>
      </c>
      <c r="I2" t="s">
        <v>509</v>
      </c>
      <c r="J2" t="s">
        <v>501</v>
      </c>
      <c r="K2" t="s">
        <v>364</v>
      </c>
      <c r="L2" t="s">
        <v>507</v>
      </c>
      <c r="M2" t="s">
        <v>511</v>
      </c>
      <c r="N2" t="s">
        <v>512</v>
      </c>
      <c r="O2" t="s">
        <v>513</v>
      </c>
      <c r="P2" t="s">
        <v>515</v>
      </c>
    </row>
    <row r="3" spans="2:20" x14ac:dyDescent="0.25">
      <c r="B3" t="s">
        <v>504</v>
      </c>
      <c r="C3">
        <v>24</v>
      </c>
      <c r="D3">
        <v>12</v>
      </c>
      <c r="E3">
        <f>C3*D3</f>
        <v>288</v>
      </c>
      <c r="H3" t="s">
        <v>508</v>
      </c>
      <c r="I3">
        <v>4</v>
      </c>
      <c r="J3">
        <v>0</v>
      </c>
      <c r="K3">
        <v>0</v>
      </c>
      <c r="L3">
        <v>6</v>
      </c>
      <c r="M3">
        <f>J3*K3</f>
        <v>0</v>
      </c>
      <c r="N3">
        <f>PI()*L3^2*(1/4)</f>
        <v>28.274333882308138</v>
      </c>
      <c r="O3">
        <f>IF(Table16[[#This Row],[Area Square]]=0,Table16[[#This Row],[Area Circle]]*Table16[[#This Row],[Quanity]],Table16[[#This Row],[Area Square]]*Table16[[#This Row],[Quanity]])</f>
        <v>113.09733552923255</v>
      </c>
      <c r="P3">
        <f>Table16[[#This Row],[Total Area Needed]]/Table17[[#This Row],[Area (in^2)]]</f>
        <v>0.39269908169872414</v>
      </c>
      <c r="R3" t="s">
        <v>516</v>
      </c>
    </row>
    <row r="4" spans="2:20" x14ac:dyDescent="0.25">
      <c r="B4" t="s">
        <v>504</v>
      </c>
      <c r="C4">
        <v>24</v>
      </c>
      <c r="D4">
        <v>12</v>
      </c>
      <c r="E4">
        <f t="shared" ref="E4:E8" si="0">C4*D4</f>
        <v>288</v>
      </c>
      <c r="H4" t="s">
        <v>510</v>
      </c>
      <c r="I4">
        <v>2</v>
      </c>
      <c r="J4">
        <v>0</v>
      </c>
      <c r="K4">
        <v>0</v>
      </c>
      <c r="L4">
        <v>5</v>
      </c>
      <c r="M4">
        <f>J4*K4</f>
        <v>0</v>
      </c>
      <c r="N4">
        <f>PI()*L4^2*(1/4)</f>
        <v>19.634954084936208</v>
      </c>
      <c r="O4">
        <f>IF(Table16[[#This Row],[Area Square]]=0,Table16[[#This Row],[Area Circle]]*Table16[[#This Row],[Quanity]],Table16[[#This Row],[Area Square]]*Table16[[#This Row],[Quanity]])</f>
        <v>39.269908169872416</v>
      </c>
      <c r="P4">
        <f>Table16[[#This Row],[Total Area Needed]]/Table17[[#This Row],[Area (in^2)]]</f>
        <v>0.13635384781205701</v>
      </c>
    </row>
    <row r="5" spans="2:20" x14ac:dyDescent="0.25">
      <c r="B5" t="s">
        <v>504</v>
      </c>
      <c r="C5">
        <v>24</v>
      </c>
      <c r="D5">
        <v>12</v>
      </c>
      <c r="E5">
        <f t="shared" si="0"/>
        <v>288</v>
      </c>
      <c r="H5" t="s">
        <v>514</v>
      </c>
      <c r="I5">
        <v>1</v>
      </c>
      <c r="J5">
        <v>0</v>
      </c>
      <c r="K5">
        <v>0</v>
      </c>
      <c r="L5">
        <v>6</v>
      </c>
      <c r="M5">
        <f t="shared" ref="M5:M9" si="1">J5*K5</f>
        <v>0</v>
      </c>
      <c r="N5">
        <f t="shared" ref="N5:N9" si="2">PI()*L5^2*(1/4)</f>
        <v>28.274333882308138</v>
      </c>
      <c r="O5">
        <f>IF(Table16[[#This Row],[Area Square]]=0,Table16[[#This Row],[Area Circle]]*Table16[[#This Row],[Quanity]],Table16[[#This Row],[Area Square]]*Table16[[#This Row],[Quanity]])</f>
        <v>28.274333882308138</v>
      </c>
      <c r="P5">
        <f>Table16[[#This Row],[Total Area Needed]]/Table17[[#This Row],[Area (in^2)]]</f>
        <v>9.8174770424681035E-2</v>
      </c>
      <c r="R5" t="s">
        <v>517</v>
      </c>
      <c r="S5" t="s">
        <v>518</v>
      </c>
      <c r="T5" t="s">
        <v>519</v>
      </c>
    </row>
    <row r="6" spans="2:20" x14ac:dyDescent="0.25">
      <c r="B6" t="s">
        <v>504</v>
      </c>
      <c r="C6">
        <v>24</v>
      </c>
      <c r="D6">
        <v>12</v>
      </c>
      <c r="E6">
        <f t="shared" si="0"/>
        <v>288</v>
      </c>
      <c r="M6">
        <f t="shared" si="1"/>
        <v>0</v>
      </c>
      <c r="N6">
        <f t="shared" si="2"/>
        <v>0</v>
      </c>
      <c r="O6">
        <f>IF(Table16[[#This Row],[Area Square]]=0,Table16[[#This Row],[Area Circle]]*Table16[[#This Row],[Quanity]],Table16[[#This Row],[Area Square]]*Table16[[#This Row],[Quanity]])</f>
        <v>0</v>
      </c>
      <c r="P6">
        <f>Table16[[#This Row],[Total Area Needed]]/Table17[[#This Row],[Area (in^2)]]</f>
        <v>0</v>
      </c>
      <c r="R6">
        <f>SUM(I3:I5)</f>
        <v>7</v>
      </c>
      <c r="S6">
        <f>R6/6</f>
        <v>1.1666666666666667</v>
      </c>
      <c r="T6">
        <f>S6*1.5</f>
        <v>1.75</v>
      </c>
    </row>
    <row r="7" spans="2:20" x14ac:dyDescent="0.25">
      <c r="B7" t="s">
        <v>504</v>
      </c>
      <c r="C7">
        <v>24</v>
      </c>
      <c r="D7">
        <v>12</v>
      </c>
      <c r="E7">
        <f t="shared" si="0"/>
        <v>288</v>
      </c>
      <c r="M7">
        <f t="shared" si="1"/>
        <v>0</v>
      </c>
      <c r="N7">
        <f t="shared" si="2"/>
        <v>0</v>
      </c>
      <c r="O7">
        <f>IF(Table16[[#This Row],[Area Square]]=0,Table16[[#This Row],[Area Circle]]*Table16[[#This Row],[Quanity]],Table16[[#This Row],[Area Square]]*Table16[[#This Row],[Quanity]])</f>
        <v>0</v>
      </c>
      <c r="P7">
        <f>Table16[[#This Row],[Total Area Needed]]/Table17[[#This Row],[Area (in^2)]]</f>
        <v>0</v>
      </c>
    </row>
    <row r="8" spans="2:20" x14ac:dyDescent="0.25">
      <c r="B8" t="s">
        <v>504</v>
      </c>
      <c r="C8">
        <v>24</v>
      </c>
      <c r="D8">
        <v>12</v>
      </c>
      <c r="E8">
        <f t="shared" si="0"/>
        <v>288</v>
      </c>
      <c r="M8">
        <f t="shared" si="1"/>
        <v>0</v>
      </c>
      <c r="N8">
        <f t="shared" si="2"/>
        <v>0</v>
      </c>
      <c r="O8">
        <f>IF(Table16[[#This Row],[Area Square]]=0,Table16[[#This Row],[Area Circle]]*Table16[[#This Row],[Quanity]],Table16[[#This Row],[Area Square]]*Table16[[#This Row],[Quanity]])</f>
        <v>0</v>
      </c>
      <c r="P8">
        <f>Table16[[#This Row],[Total Area Needed]]/Table17[[#This Row],[Area (in^2)]]</f>
        <v>0</v>
      </c>
    </row>
    <row r="9" spans="2:20" x14ac:dyDescent="0.25">
      <c r="B9" t="s">
        <v>504</v>
      </c>
      <c r="C9">
        <v>24</v>
      </c>
      <c r="D9">
        <v>12</v>
      </c>
      <c r="E9">
        <f t="shared" ref="E9" si="3">C9*D9</f>
        <v>288</v>
      </c>
      <c r="M9">
        <f t="shared" si="1"/>
        <v>0</v>
      </c>
      <c r="N9">
        <f t="shared" si="2"/>
        <v>0</v>
      </c>
      <c r="O9">
        <f>IF(Table16[[#This Row],[Area Square]]=0,Table16[[#This Row],[Area Circle]]*Table16[[#This Row],[Quanity]],Table16[[#This Row],[Area Square]]*Table16[[#This Row],[Quanity]])</f>
        <v>0</v>
      </c>
      <c r="P9">
        <f>Table16[[#This Row],[Total Area Needed]]/Table17[[#This Row],[Area (in^2)]]</f>
        <v>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3A1D2-05E2-4BF4-A7A9-E593D4F2C8CF}">
  <sheetPr>
    <tabColor rgb="FFFF9933"/>
  </sheetPr>
  <dimension ref="A2:AQ188"/>
  <sheetViews>
    <sheetView zoomScale="85" zoomScaleNormal="85" workbookViewId="0">
      <selection activeCell="D3" sqref="D3"/>
    </sheetView>
  </sheetViews>
  <sheetFormatPr defaultColWidth="15.85546875" defaultRowHeight="15" x14ac:dyDescent="0.25"/>
  <cols>
    <col min="1" max="8" width="15.85546875" style="24"/>
    <col min="9" max="9" width="22.5703125" style="24" customWidth="1"/>
    <col min="10" max="21" width="15.85546875" style="24"/>
    <col min="22" max="22" width="15.85546875" style="24" customWidth="1"/>
    <col min="24" max="24" width="22.5703125" bestFit="1" customWidth="1"/>
    <col min="26" max="26" width="23.85546875" style="24" bestFit="1" customWidth="1"/>
    <col min="27" max="28" width="15.85546875" style="24"/>
    <col min="32" max="33" width="15.85546875" style="24"/>
    <col min="34" max="34" width="21" style="24" bestFit="1" customWidth="1"/>
    <col min="35" max="36" width="15.85546875" style="24"/>
    <col min="37" max="37" width="22.5703125" style="24" bestFit="1" customWidth="1"/>
    <col min="38" max="38" width="15.85546875" style="24"/>
    <col min="39" max="39" width="23.85546875" style="24" bestFit="1" customWidth="1"/>
    <col min="40" max="16384" width="15.85546875" style="24"/>
  </cols>
  <sheetData>
    <row r="2" spans="1:40" ht="30" x14ac:dyDescent="0.25">
      <c r="B2" s="178" t="s">
        <v>17</v>
      </c>
      <c r="C2" s="178"/>
      <c r="D2" s="23" t="s">
        <v>108</v>
      </c>
      <c r="E2" s="23" t="s">
        <v>109</v>
      </c>
      <c r="F2" s="23" t="s">
        <v>24</v>
      </c>
      <c r="G2" s="23" t="s">
        <v>25</v>
      </c>
      <c r="H2" s="23" t="s">
        <v>26</v>
      </c>
      <c r="I2" s="23" t="s">
        <v>27</v>
      </c>
      <c r="J2" s="23" t="s">
        <v>110</v>
      </c>
      <c r="K2" s="23" t="s">
        <v>111</v>
      </c>
    </row>
    <row r="3" spans="1:40" ht="15" customHeight="1" x14ac:dyDescent="0.25">
      <c r="B3" s="179" t="s">
        <v>112</v>
      </c>
      <c r="C3" s="179"/>
      <c r="D3" s="25">
        <f>'In and Out'!C48</f>
        <v>1.0069999999999999</v>
      </c>
      <c r="E3" s="25">
        <f>'In and Out'!E48</f>
        <v>951</v>
      </c>
      <c r="F3" s="25">
        <f>'In and Out'!F48</f>
        <v>3.53</v>
      </c>
      <c r="G3" s="25">
        <f>'In and Out'!G48</f>
        <v>7.3</v>
      </c>
      <c r="H3" s="25">
        <f>'In and Out'!H48</f>
        <v>2.4369999999999998</v>
      </c>
      <c r="I3" s="25">
        <f>'In and Out'!I48</f>
        <v>8.74</v>
      </c>
      <c r="J3" s="25">
        <f>'In and Out'!J48</f>
        <v>0.87</v>
      </c>
      <c r="K3" s="25">
        <f>'In and Out'!K48</f>
        <v>0.314</v>
      </c>
    </row>
    <row r="4" spans="1:40" ht="45" x14ac:dyDescent="0.25">
      <c r="A4" s="24">
        <f>0.5*('Aero Force Calculations'!H75/6.2)</f>
        <v>1402.2552308002064</v>
      </c>
      <c r="D4" s="23" t="s">
        <v>113</v>
      </c>
      <c r="E4" s="23" t="s">
        <v>38</v>
      </c>
      <c r="F4" s="23" t="s">
        <v>39</v>
      </c>
      <c r="G4" s="23" t="s">
        <v>114</v>
      </c>
      <c r="H4" s="23" t="s">
        <v>115</v>
      </c>
      <c r="I4" s="23" t="s">
        <v>116</v>
      </c>
      <c r="J4" s="23" t="s">
        <v>44</v>
      </c>
      <c r="K4" s="23" t="s">
        <v>45</v>
      </c>
      <c r="X4" s="182" t="s">
        <v>117</v>
      </c>
      <c r="Y4" s="183"/>
      <c r="Z4" s="183"/>
      <c r="AA4" s="184"/>
      <c r="AK4" s="191" t="s">
        <v>118</v>
      </c>
      <c r="AL4" s="192"/>
      <c r="AM4" s="192"/>
      <c r="AN4" s="193"/>
    </row>
    <row r="5" spans="1:40" x14ac:dyDescent="0.25">
      <c r="D5" s="26">
        <f>'In and Out'!C52</f>
        <v>122</v>
      </c>
      <c r="E5" s="26">
        <f>'In and Out'!D52</f>
        <v>212</v>
      </c>
      <c r="F5" s="26">
        <f>'In and Out'!E52</f>
        <v>6.04</v>
      </c>
      <c r="G5" s="26">
        <f>'In and Out'!F52</f>
        <v>6.04</v>
      </c>
      <c r="H5" s="26">
        <f>'In and Out'!G52</f>
        <v>5.7960000000000003</v>
      </c>
      <c r="I5" s="26">
        <f>'In and Out'!I52</f>
        <v>13.938000000000001</v>
      </c>
      <c r="J5" s="26">
        <f>'In and Out'!J52</f>
        <v>129</v>
      </c>
      <c r="K5" s="26">
        <f>'In and Out'!K52</f>
        <v>205.96299999999999</v>
      </c>
      <c r="X5" s="185"/>
      <c r="Y5" s="186"/>
      <c r="Z5" s="186"/>
      <c r="AA5" s="187"/>
      <c r="AK5" s="194"/>
      <c r="AL5" s="195"/>
      <c r="AM5" s="195"/>
      <c r="AN5" s="196"/>
    </row>
    <row r="6" spans="1:40" ht="45" x14ac:dyDescent="0.25">
      <c r="D6" s="23" t="s">
        <v>119</v>
      </c>
      <c r="E6" s="23" t="s">
        <v>120</v>
      </c>
      <c r="F6" s="23" t="s">
        <v>121</v>
      </c>
      <c r="G6" s="23" t="s">
        <v>52</v>
      </c>
      <c r="H6" s="23" t="s">
        <v>53</v>
      </c>
      <c r="I6" s="23" t="s">
        <v>54</v>
      </c>
      <c r="J6" s="23" t="s">
        <v>86</v>
      </c>
      <c r="K6" s="23"/>
      <c r="X6" s="188"/>
      <c r="Y6" s="189"/>
      <c r="Z6" s="189"/>
      <c r="AA6" s="190"/>
      <c r="AK6" s="197"/>
      <c r="AL6" s="198"/>
      <c r="AM6" s="198"/>
      <c r="AN6" s="199"/>
    </row>
    <row r="7" spans="1:40" x14ac:dyDescent="0.25">
      <c r="D7" s="26" t="str">
        <f>'In and Out'!C66</f>
        <v>1/4 - 20</v>
      </c>
      <c r="E7" s="26">
        <f>'In and Out'!D66</f>
        <v>0.2</v>
      </c>
      <c r="F7" s="26">
        <f>'In and Out'!E61</f>
        <v>0</v>
      </c>
      <c r="G7" s="26">
        <f>'In and Out'!C56</f>
        <v>8</v>
      </c>
      <c r="H7" s="26">
        <f>'In and Out'!D56</f>
        <v>5</v>
      </c>
      <c r="I7" s="26">
        <f>'In and Out'!E56</f>
        <v>5.75</v>
      </c>
      <c r="J7" s="26">
        <f>'In and Out'!R78</f>
        <v>1.2577554684205907</v>
      </c>
      <c r="K7" s="26"/>
      <c r="X7" t="s">
        <v>122</v>
      </c>
      <c r="Y7" s="34" t="s">
        <v>123</v>
      </c>
      <c r="Z7" t="s">
        <v>124</v>
      </c>
      <c r="AA7" s="133" t="s">
        <v>125</v>
      </c>
      <c r="AC7" s="24"/>
      <c r="AF7"/>
      <c r="AK7" t="s">
        <v>122</v>
      </c>
      <c r="AL7" t="s">
        <v>126</v>
      </c>
      <c r="AM7" t="s">
        <v>124</v>
      </c>
      <c r="AN7" t="s">
        <v>127</v>
      </c>
    </row>
    <row r="8" spans="1:40" x14ac:dyDescent="0.25">
      <c r="X8">
        <v>1</v>
      </c>
      <c r="Z8">
        <f>ROUND($H$16,0)</f>
        <v>115</v>
      </c>
      <c r="AA8" s="24">
        <f>IF(AND(Table9[[#This Row],[Distance from Tip (in)2]] &lt;&gt; ROUND($J$16,0),AA7 &lt;&gt;0 ), ($G$68)-($F$68*(Z8-$D$68)),0)</f>
        <v>69.904233554735342</v>
      </c>
      <c r="AC8" s="24"/>
      <c r="AF8"/>
      <c r="AK8">
        <v>1</v>
      </c>
      <c r="AL8">
        <f>($E$56*Table97[[#This Row],[Distance from Tip (in)]])-($G$56*(Table97[[#This Row],[Distance from Tip (in)]]^2)/2)</f>
        <v>54.653488491348995</v>
      </c>
      <c r="AM8">
        <f>ROUND($H$16,0)</f>
        <v>115</v>
      </c>
      <c r="AN8" s="24">
        <f>IF(AND(Table97[[#This Row],[Distance from Tip (in)2]] &lt;&gt; ROUND($J$16,0),AN7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7162.9447869013529</v>
      </c>
    </row>
    <row r="9" spans="1:40" x14ac:dyDescent="0.25">
      <c r="X9">
        <f t="shared" ref="X9:X40" si="0">IF(AND(X8 &lt;&gt; $Z$8, X8 &lt;&gt; 0),X8+1,0)</f>
        <v>2</v>
      </c>
      <c r="Y9">
        <f>IF(Table9[[#This Row],[Distance from Tip (in)]]&lt;&gt;0, ($E$64)-($F$64)*(X8), 0)</f>
        <v>54.718906869062401</v>
      </c>
      <c r="Z9">
        <f t="shared" ref="Z9:Z40" si="1">IF(AND(Z8 &lt;&gt;ROUND( $J$16,0), Z8 &lt;&gt; 0),Z8+1,0)</f>
        <v>116</v>
      </c>
      <c r="AA9" s="24">
        <f>IF(AND(Table9[[#This Row],[Distance from Tip (in)2]] &lt;&gt; ROUND($J$16,0),AA8 &lt;&gt;0 ), ($G$68)-($F$68*(Z9-$D$68)),0)</f>
        <v>65.681254713144213</v>
      </c>
      <c r="AC9" s="24"/>
      <c r="AF9"/>
      <c r="AK9">
        <f t="shared" ref="AK9:AK40" si="2">IF(AND(AK8 &lt;&gt; $Z$8, AK8 &lt;&gt; 0),AK8+1,0)</f>
        <v>2</v>
      </c>
      <c r="AL9">
        <f>IF(Table97[[#This Row],[Distance from Tip (in)]]&lt;&gt;0,($E$56*Table97[[#This Row],[Distance from Tip (in)]])-($G$56*(Table97[[#This Row],[Distance from Tip (in)]]^2)/2), 0)</f>
        <v>109.4378137381248</v>
      </c>
      <c r="AM9">
        <f t="shared" ref="AM9:AM40" si="3">IF(AND(AM8 &lt;&gt;ROUND( $J$16,0), AM8 &lt;&gt; 0),AM8+1,0)</f>
        <v>116</v>
      </c>
      <c r="AN9" s="24">
        <f>IF(AND(Table97[[#This Row],[Distance from Tip (in)2]] &lt;&gt; ROUND($J$16,0),AN8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6909.4237399151316</v>
      </c>
    </row>
    <row r="10" spans="1:40" x14ac:dyDescent="0.25">
      <c r="X10">
        <f t="shared" si="0"/>
        <v>3</v>
      </c>
      <c r="Y10">
        <f>IF(Table9[[#This Row],[Distance from Tip (in)]]&lt;&gt;0, ($E$64)-($F$64)*(X9), 0)</f>
        <v>54.849743624489228</v>
      </c>
      <c r="Z10">
        <f t="shared" si="1"/>
        <v>117</v>
      </c>
      <c r="AA10" s="24">
        <f>IF(AND(Table9[[#This Row],[Distance from Tip (in)2]] &lt;&gt; ROUND($J$16,0),AA9 &lt;&gt;0 ), ($G$68)-($F$68*(Z10-$D$68)),0)</f>
        <v>61.458275871553077</v>
      </c>
      <c r="AC10" s="24"/>
      <c r="AF10"/>
      <c r="AK10">
        <f t="shared" si="2"/>
        <v>3</v>
      </c>
      <c r="AL10">
        <f>IF(Table97[[#This Row],[Distance from Tip (in)]]&lt;&gt;0,($E$56*Table97[[#This Row],[Distance from Tip (in)]])-($G$56*(Table97[[#This Row],[Distance from Tip (in)]]^2)/2), 0)</f>
        <v>164.35297574032745</v>
      </c>
      <c r="AM10">
        <f t="shared" si="3"/>
        <v>117</v>
      </c>
      <c r="AN10" s="24">
        <f>IF(AND(Table97[[#This Row],[Distance from Tip (in)2]] &lt;&gt; ROUND($J$16,0),AN9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6660.1256717705255</v>
      </c>
    </row>
    <row r="11" spans="1:40" x14ac:dyDescent="0.25">
      <c r="X11">
        <f t="shared" si="0"/>
        <v>4</v>
      </c>
      <c r="Y11">
        <f>IF(Table9[[#This Row],[Distance from Tip (in)]]&lt;&gt;0, ($E$64)-($F$64)*(X10), 0)</f>
        <v>54.980580379916049</v>
      </c>
      <c r="Z11">
        <f t="shared" si="1"/>
        <v>118</v>
      </c>
      <c r="AA11" s="24">
        <f>IF(AND(Table9[[#This Row],[Distance from Tip (in)2]] &lt;&gt; ROUND($J$16,0),AA10 &lt;&gt;0 ), ($G$68)-($F$68*(Z11-$D$68)),0)</f>
        <v>57.235297029961941</v>
      </c>
      <c r="AC11" s="24"/>
      <c r="AF11"/>
      <c r="AK11">
        <f t="shared" si="2"/>
        <v>4</v>
      </c>
      <c r="AL11">
        <f>IF(Table97[[#This Row],[Distance from Tip (in)]]&lt;&gt;0,($E$56*Table97[[#This Row],[Distance from Tip (in)]])-($G$56*(Table97[[#This Row],[Distance from Tip (in)]]^2)/2), 0)</f>
        <v>219.39897449795691</v>
      </c>
      <c r="AM11">
        <f t="shared" si="3"/>
        <v>118</v>
      </c>
      <c r="AN11" s="24">
        <f>IF(AND(Table97[[#This Row],[Distance from Tip (in)2]] &lt;&gt; ROUND($J$16,0),AN10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6415.050582467491</v>
      </c>
    </row>
    <row r="12" spans="1:40" x14ac:dyDescent="0.25">
      <c r="X12">
        <f t="shared" si="0"/>
        <v>5</v>
      </c>
      <c r="Y12">
        <f>IF(Table9[[#This Row],[Distance from Tip (in)]]&lt;&gt;0, ($E$64)-($F$64)*(X11), 0)</f>
        <v>55.111417135342876</v>
      </c>
      <c r="Z12">
        <f t="shared" si="1"/>
        <v>119</v>
      </c>
      <c r="AA12" s="24">
        <f>IF(AND(Table9[[#This Row],[Distance from Tip (in)2]] &lt;&gt; ROUND($J$16,0),AA11 &lt;&gt;0 ), ($G$68)-($F$68*(Z12-$D$68)),0)</f>
        <v>53.012318188370806</v>
      </c>
      <c r="AC12" s="24"/>
      <c r="AF12"/>
      <c r="AK12">
        <f t="shared" si="2"/>
        <v>5</v>
      </c>
      <c r="AL12">
        <f>IF(Table97[[#This Row],[Distance from Tip (in)]]&lt;&gt;0,($E$56*Table97[[#This Row],[Distance from Tip (in)]])-($G$56*(Table97[[#This Row],[Distance from Tip (in)]]^2)/2), 0)</f>
        <v>274.57581001101317</v>
      </c>
      <c r="AM12">
        <f t="shared" si="3"/>
        <v>119</v>
      </c>
      <c r="AN12" s="24">
        <f>IF(AND(Table97[[#This Row],[Distance from Tip (in)2]] &lt;&gt; ROUND($J$16,0),AN11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6174.1984720060573</v>
      </c>
    </row>
    <row r="13" spans="1:40" x14ac:dyDescent="0.25">
      <c r="X13">
        <f t="shared" si="0"/>
        <v>6</v>
      </c>
      <c r="Y13">
        <f>IF(Table9[[#This Row],[Distance from Tip (in)]]&lt;&gt;0, ($E$64)-($F$64)*(X12), 0)</f>
        <v>55.242253890769696</v>
      </c>
      <c r="Z13">
        <f t="shared" si="1"/>
        <v>120</v>
      </c>
      <c r="AA13" s="24">
        <f>IF(AND(Table9[[#This Row],[Distance from Tip (in)2]] &lt;&gt; ROUND($J$16,0),AA12 &lt;&gt;0 ), ($G$68)-($F$68*(Z13-$D$68)),0)</f>
        <v>48.78933934677967</v>
      </c>
      <c r="AC13" s="24"/>
      <c r="AF13"/>
      <c r="AK13">
        <f t="shared" si="2"/>
        <v>6</v>
      </c>
      <c r="AL13">
        <f>IF(Table97[[#This Row],[Distance from Tip (in)]]&lt;&gt;0,($E$56*Table97[[#This Row],[Distance from Tip (in)]])-($G$56*(Table97[[#This Row],[Distance from Tip (in)]]^2)/2), 0)</f>
        <v>329.88348227949632</v>
      </c>
      <c r="AM13">
        <f t="shared" si="3"/>
        <v>120</v>
      </c>
      <c r="AN13" s="24">
        <f>IF(AND(Table97[[#This Row],[Distance from Tip (in)2]] &lt;&gt; ROUND($J$16,0),AN12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5937.5693403862097</v>
      </c>
    </row>
    <row r="14" spans="1:40" x14ac:dyDescent="0.25">
      <c r="D14" s="24" t="s">
        <v>128</v>
      </c>
      <c r="E14" s="24" t="s">
        <v>129</v>
      </c>
      <c r="X14">
        <f t="shared" si="0"/>
        <v>7</v>
      </c>
      <c r="Y14">
        <f>IF(Table9[[#This Row],[Distance from Tip (in)]]&lt;&gt;0, ($E$64)-($F$64)*(X13), 0)</f>
        <v>55.373090646196523</v>
      </c>
      <c r="Z14">
        <f t="shared" si="1"/>
        <v>121</v>
      </c>
      <c r="AA14" s="24">
        <f>IF(AND(Table9[[#This Row],[Distance from Tip (in)2]] &lt;&gt; ROUND($J$16,0),AA13 &lt;&gt;0 ), ($G$68)-($F$68*(Z14-$D$68)),0)</f>
        <v>44.566360505188534</v>
      </c>
      <c r="AC14" s="24"/>
      <c r="AF14"/>
      <c r="AK14">
        <f t="shared" si="2"/>
        <v>7</v>
      </c>
      <c r="AL14">
        <f>IF(Table97[[#This Row],[Distance from Tip (in)]]&lt;&gt;0,($E$56*Table97[[#This Row],[Distance from Tip (in)]])-($G$56*(Table97[[#This Row],[Distance from Tip (in)]]^2)/2), 0)</f>
        <v>385.32199130340621</v>
      </c>
      <c r="AM14">
        <f t="shared" si="3"/>
        <v>121</v>
      </c>
      <c r="AN14" s="24">
        <f>IF(AND(Table97[[#This Row],[Distance from Tip (in)2]] &lt;&gt; ROUND($J$16,0),AN13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5705.1631876079773</v>
      </c>
    </row>
    <row r="15" spans="1:40" ht="45" x14ac:dyDescent="0.25">
      <c r="B15" s="178" t="s">
        <v>130</v>
      </c>
      <c r="C15" s="178"/>
      <c r="D15" s="23" t="s">
        <v>131</v>
      </c>
      <c r="E15" s="23" t="s">
        <v>132</v>
      </c>
      <c r="F15" s="23" t="s">
        <v>133</v>
      </c>
      <c r="G15" s="23" t="s">
        <v>134</v>
      </c>
      <c r="H15" s="23" t="s">
        <v>135</v>
      </c>
      <c r="I15" s="23" t="s">
        <v>136</v>
      </c>
      <c r="J15" s="23" t="s">
        <v>137</v>
      </c>
      <c r="X15">
        <f t="shared" si="0"/>
        <v>8</v>
      </c>
      <c r="Y15">
        <f>IF(Table9[[#This Row],[Distance from Tip (in)]]&lt;&gt;0, ($E$64)-($F$64)*(X14), 0)</f>
        <v>55.503927401623343</v>
      </c>
      <c r="Z15">
        <f t="shared" si="1"/>
        <v>122</v>
      </c>
      <c r="AA15" s="24">
        <f>IF(AND(Table9[[#This Row],[Distance from Tip (in)2]] &lt;&gt; ROUND($J$16,0),AA14 &lt;&gt;0 ), ($G$68)-($F$68*(Z15-$D$68)),0)</f>
        <v>40.343381663597398</v>
      </c>
      <c r="AC15" s="24"/>
      <c r="AF15"/>
      <c r="AK15">
        <f t="shared" si="2"/>
        <v>8</v>
      </c>
      <c r="AL15">
        <f>IF(Table97[[#This Row],[Distance from Tip (in)]]&lt;&gt;0,($E$56*Table97[[#This Row],[Distance from Tip (in)]])-($G$56*(Table97[[#This Row],[Distance from Tip (in)]]^2)/2), 0)</f>
        <v>440.89133708274301</v>
      </c>
      <c r="AM15">
        <f t="shared" si="3"/>
        <v>122</v>
      </c>
      <c r="AN15" s="24">
        <f>IF(AND(Table97[[#This Row],[Distance from Tip (in)2]] &lt;&gt; ROUND($J$16,0),AN14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5476.9800136713311</v>
      </c>
    </row>
    <row r="16" spans="1:40" x14ac:dyDescent="0.25">
      <c r="B16" s="180" t="s">
        <v>138</v>
      </c>
      <c r="C16" s="180"/>
      <c r="D16" s="27">
        <f>1/4*(PI())*(F5^2)</f>
        <v>28.652581637800349</v>
      </c>
      <c r="E16" s="27">
        <f xml:space="preserve"> (G7 + H7) * I7 / 2</f>
        <v>37.375</v>
      </c>
      <c r="F16" s="27">
        <f>G3*(PI()/180)</f>
        <v>0.12740903539558607</v>
      </c>
      <c r="G16" s="27">
        <v>32.174050000000001</v>
      </c>
      <c r="H16" s="27">
        <f>J5-I5</f>
        <v>115.062</v>
      </c>
      <c r="I16" s="27">
        <f>K5-(I5+H16)</f>
        <v>76.962999999999994</v>
      </c>
      <c r="J16" s="27">
        <f>H16+I16</f>
        <v>192.02499999999998</v>
      </c>
      <c r="X16">
        <f t="shared" si="0"/>
        <v>9</v>
      </c>
      <c r="Y16">
        <f>IF(Table9[[#This Row],[Distance from Tip (in)]]&lt;&gt;0, ($E$64)-($F$64)*(X15), 0)</f>
        <v>55.634764157050164</v>
      </c>
      <c r="Z16">
        <f t="shared" si="1"/>
        <v>123</v>
      </c>
      <c r="AA16" s="24">
        <f>IF(AND(Table9[[#This Row],[Distance from Tip (in)2]] &lt;&gt; ROUND($J$16,0),AA15 &lt;&gt;0 ), ($G$68)-($F$68*(Z16-$D$68)),0)</f>
        <v>36.120402822006263</v>
      </c>
      <c r="AC16" s="24"/>
      <c r="AF16"/>
      <c r="AK16">
        <f t="shared" si="2"/>
        <v>9</v>
      </c>
      <c r="AL16">
        <f>IF(Table97[[#This Row],[Distance from Tip (in)]]&lt;&gt;0,($E$56*Table97[[#This Row],[Distance from Tip (in)]])-($G$56*(Table97[[#This Row],[Distance from Tip (in)]]^2)/2), 0)</f>
        <v>496.59151961750655</v>
      </c>
      <c r="AM16">
        <f t="shared" si="3"/>
        <v>123</v>
      </c>
      <c r="AN16" s="24">
        <f>IF(AND(Table97[[#This Row],[Distance from Tip (in)2]] &lt;&gt; ROUND($J$16,0),AN15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5253.019818576242</v>
      </c>
    </row>
    <row r="17" spans="4:43" x14ac:dyDescent="0.25">
      <c r="X17">
        <f t="shared" si="0"/>
        <v>10</v>
      </c>
      <c r="Y17">
        <f>IF(Table9[[#This Row],[Distance from Tip (in)]]&lt;&gt;0, ($E$64)-($F$64)*(X16), 0)</f>
        <v>55.765600912476991</v>
      </c>
      <c r="Z17">
        <f t="shared" si="1"/>
        <v>124</v>
      </c>
      <c r="AA17" s="24">
        <f>IF(AND(Table9[[#This Row],[Distance from Tip (in)2]] &lt;&gt; ROUND($J$16,0),AA16 &lt;&gt;0 ), ($G$68)-($F$68*(Z17-$D$68)),0)</f>
        <v>31.897423980415127</v>
      </c>
      <c r="AC17" s="24"/>
      <c r="AF17"/>
      <c r="AK17">
        <f t="shared" si="2"/>
        <v>10</v>
      </c>
      <c r="AL17">
        <f>IF(Table97[[#This Row],[Distance from Tip (in)]]&lt;&gt;0,($E$56*Table97[[#This Row],[Distance from Tip (in)]])-($G$56*(Table97[[#This Row],[Distance from Tip (in)]]^2)/2), 0)</f>
        <v>552.422538907697</v>
      </c>
      <c r="AM17">
        <f t="shared" si="3"/>
        <v>124</v>
      </c>
      <c r="AN17" s="24">
        <f>IF(AND(Table97[[#This Row],[Distance from Tip (in)2]] &lt;&gt; ROUND($J$16,0),AN16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5033.2826023227826</v>
      </c>
    </row>
    <row r="18" spans="4:43" x14ac:dyDescent="0.25">
      <c r="X18">
        <f t="shared" si="0"/>
        <v>11</v>
      </c>
      <c r="Y18">
        <f>IF(Table9[[#This Row],[Distance from Tip (in)]]&lt;&gt;0, ($E$64)-($F$64)*(X17), 0)</f>
        <v>55.896437667903811</v>
      </c>
      <c r="Z18">
        <f t="shared" si="1"/>
        <v>125</v>
      </c>
      <c r="AA18" s="24">
        <f>IF(AND(Table9[[#This Row],[Distance from Tip (in)2]] &lt;&gt; ROUND($J$16,0),AA17 &lt;&gt;0 ), ($G$68)-($F$68*(Z18-$D$68)),0)</f>
        <v>27.674445138823991</v>
      </c>
      <c r="AC18" s="24"/>
      <c r="AF18"/>
      <c r="AK18">
        <f t="shared" si="2"/>
        <v>11</v>
      </c>
      <c r="AL18">
        <f>IF(Table97[[#This Row],[Distance from Tip (in)]]&lt;&gt;0,($E$56*Table97[[#This Row],[Distance from Tip (in)]])-($G$56*(Table97[[#This Row],[Distance from Tip (in)]]^2)/2), 0)</f>
        <v>608.3843949533142</v>
      </c>
      <c r="AM18">
        <f t="shared" si="3"/>
        <v>125</v>
      </c>
      <c r="AN18" s="24">
        <f>IF(AND(Table97[[#This Row],[Distance from Tip (in)2]] &lt;&gt; ROUND($J$16,0),AN17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4817.7683649108803</v>
      </c>
    </row>
    <row r="19" spans="4:43" x14ac:dyDescent="0.25">
      <c r="X19">
        <f t="shared" si="0"/>
        <v>12</v>
      </c>
      <c r="Y19">
        <f>IF(Table9[[#This Row],[Distance from Tip (in)]]&lt;&gt;0, ($E$64)-($F$64)*(X18), 0)</f>
        <v>56.027274423330638</v>
      </c>
      <c r="Z19">
        <f t="shared" si="1"/>
        <v>126</v>
      </c>
      <c r="AA19" s="24">
        <f>IF(AND(Table9[[#This Row],[Distance from Tip (in)2]] &lt;&gt; ROUND($J$16,0),AA18 &lt;&gt;0 ), ($G$68)-($F$68*(Z19-$D$68)),0)</f>
        <v>23.451466297232855</v>
      </c>
      <c r="AC19" s="24"/>
      <c r="AF19"/>
      <c r="AK19">
        <f t="shared" si="2"/>
        <v>12</v>
      </c>
      <c r="AL19">
        <f>IF(Table97[[#This Row],[Distance from Tip (in)]]&lt;&gt;0,($E$56*Table97[[#This Row],[Distance from Tip (in)]])-($G$56*(Table97[[#This Row],[Distance from Tip (in)]]^2)/2), 0)</f>
        <v>664.47708775435819</v>
      </c>
      <c r="AM19">
        <f t="shared" si="3"/>
        <v>126</v>
      </c>
      <c r="AN19" s="24">
        <f>IF(AND(Table97[[#This Row],[Distance from Tip (in)2]] &lt;&gt; ROUND($J$16,0),AN18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4606.4771063405933</v>
      </c>
    </row>
    <row r="20" spans="4:43" x14ac:dyDescent="0.25">
      <c r="X20">
        <f t="shared" si="0"/>
        <v>13</v>
      </c>
      <c r="Y20">
        <f>IF(Table9[[#This Row],[Distance from Tip (in)]]&lt;&gt;0, ($E$64)-($F$64)*(X19), 0)</f>
        <v>56.158111178757459</v>
      </c>
      <c r="Z20">
        <f t="shared" si="1"/>
        <v>127</v>
      </c>
      <c r="AA20" s="24">
        <f>IF(AND(Table9[[#This Row],[Distance from Tip (in)2]] &lt;&gt; ROUND($J$16,0),AA19 &lt;&gt;0 ), ($G$68)-($F$68*(Z20-$D$68)),0)</f>
        <v>19.228487455641719</v>
      </c>
      <c r="AC20" s="24"/>
      <c r="AF20"/>
      <c r="AK20">
        <f t="shared" si="2"/>
        <v>13</v>
      </c>
      <c r="AL20">
        <f>IF(Table97[[#This Row],[Distance from Tip (in)]]&lt;&gt;0,($E$56*Table97[[#This Row],[Distance from Tip (in)]])-($G$56*(Table97[[#This Row],[Distance from Tip (in)]]^2)/2), 0)</f>
        <v>720.7006173108291</v>
      </c>
      <c r="AM20">
        <f t="shared" si="3"/>
        <v>127</v>
      </c>
      <c r="AN20" s="24">
        <f>IF(AND(Table97[[#This Row],[Distance from Tip (in)2]] &lt;&gt; ROUND($J$16,0),AN19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4399.408826611907</v>
      </c>
    </row>
    <row r="21" spans="4:43" x14ac:dyDescent="0.25">
      <c r="X21">
        <f t="shared" si="0"/>
        <v>14</v>
      </c>
      <c r="Y21">
        <f>IF(Table9[[#This Row],[Distance from Tip (in)]]&lt;&gt;0, ($E$64)-($F$64)*(X20), 0)</f>
        <v>56.288947934184279</v>
      </c>
      <c r="Z21">
        <f t="shared" si="1"/>
        <v>128</v>
      </c>
      <c r="AA21" s="24">
        <f>IF(AND(Table9[[#This Row],[Distance from Tip (in)2]] &lt;&gt; ROUND($J$16,0),AA20 &lt;&gt;0 ), ($G$68)-($F$68*(Z21-$D$68)),0)</f>
        <v>15.005508614050584</v>
      </c>
      <c r="AC21" s="24"/>
      <c r="AF21"/>
      <c r="AK21">
        <f t="shared" si="2"/>
        <v>14</v>
      </c>
      <c r="AL21">
        <f>IF(Table97[[#This Row],[Distance from Tip (in)]]&lt;&gt;0,($E$56*Table97[[#This Row],[Distance from Tip (in)]])-($G$56*(Table97[[#This Row],[Distance from Tip (in)]]^2)/2), 0)</f>
        <v>777.05498362272681</v>
      </c>
      <c r="AM21">
        <f t="shared" si="3"/>
        <v>128</v>
      </c>
      <c r="AN21" s="24">
        <f>IF(AND(Table97[[#This Row],[Distance from Tip (in)2]] &lt;&gt; ROUND($J$16,0),AN20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4196.5635257247777</v>
      </c>
    </row>
    <row r="22" spans="4:43" x14ac:dyDescent="0.25">
      <c r="X22">
        <f t="shared" si="0"/>
        <v>15</v>
      </c>
      <c r="Y22">
        <f>IF(Table9[[#This Row],[Distance from Tip (in)]]&lt;&gt;0, ($E$64)-($F$64)*(X21), 0)</f>
        <v>56.419784689611106</v>
      </c>
      <c r="Z22">
        <f t="shared" si="1"/>
        <v>129</v>
      </c>
      <c r="AA22" s="24">
        <f>IF(AND(Table9[[#This Row],[Distance from Tip (in)2]] &lt;&gt; ROUND($J$16,0),AA21 &lt;&gt;0 ), ($G$68)-($F$68*(Z22-$D$68)),0)</f>
        <v>10.782529772459448</v>
      </c>
      <c r="AC22" s="24"/>
      <c r="AF22"/>
      <c r="AK22">
        <f t="shared" si="2"/>
        <v>15</v>
      </c>
      <c r="AL22">
        <f>IF(Table97[[#This Row],[Distance from Tip (in)]]&lt;&gt;0,($E$56*Table97[[#This Row],[Distance from Tip (in)]])-($G$56*(Table97[[#This Row],[Distance from Tip (in)]]^2)/2), 0)</f>
        <v>833.54018669005131</v>
      </c>
      <c r="AM22">
        <f t="shared" si="3"/>
        <v>129</v>
      </c>
      <c r="AN22" s="24">
        <f>IF(AND(Table97[[#This Row],[Distance from Tip (in)2]] &lt;&gt; ROUND($J$16,0),AN21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3997.9412036792637</v>
      </c>
    </row>
    <row r="23" spans="4:43" x14ac:dyDescent="0.25">
      <c r="X23">
        <f t="shared" si="0"/>
        <v>16</v>
      </c>
      <c r="Y23">
        <f>IF(Table9[[#This Row],[Distance from Tip (in)]]&lt;&gt;0, ($E$64)-($F$64)*(X22), 0)</f>
        <v>56.550621445037926</v>
      </c>
      <c r="Z23">
        <f t="shared" si="1"/>
        <v>130</v>
      </c>
      <c r="AA23" s="24">
        <f>IF(AND(Table9[[#This Row],[Distance from Tip (in)2]] &lt;&gt; ROUND($J$16,0),AA22 &lt;&gt;0 ), ($G$68)-($F$68*(Z23-$D$68)),0)</f>
        <v>6.559550930868312</v>
      </c>
      <c r="AC23" s="24"/>
      <c r="AF23"/>
      <c r="AK23">
        <f t="shared" si="2"/>
        <v>16</v>
      </c>
      <c r="AL23">
        <f>IF(Table97[[#This Row],[Distance from Tip (in)]]&lt;&gt;0,($E$56*Table97[[#This Row],[Distance from Tip (in)]])-($G$56*(Table97[[#This Row],[Distance from Tip (in)]]^2)/2), 0)</f>
        <v>890.15622651280262</v>
      </c>
      <c r="AM23">
        <f t="shared" si="3"/>
        <v>130</v>
      </c>
      <c r="AN23" s="24">
        <f>IF(AND(Table97[[#This Row],[Distance from Tip (in)2]] &lt;&gt; ROUND($J$16,0),AN22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3803.5418604753359</v>
      </c>
    </row>
    <row r="24" spans="4:43" x14ac:dyDescent="0.25">
      <c r="X24">
        <f t="shared" si="0"/>
        <v>17</v>
      </c>
      <c r="Y24">
        <f>IF(Table9[[#This Row],[Distance from Tip (in)]]&lt;&gt;0, ($E$64)-($F$64)*(X23), 0)</f>
        <v>56.681458200464753</v>
      </c>
      <c r="Z24">
        <f t="shared" si="1"/>
        <v>131</v>
      </c>
      <c r="AA24" s="24">
        <f>IF(AND(Table9[[#This Row],[Distance from Tip (in)2]] &lt;&gt; ROUND($J$16,0),AA23 &lt;&gt;0 ), ($G$68)-($F$68*(Z24-$D$68)),0)</f>
        <v>2.3365720892771691</v>
      </c>
      <c r="AC24" s="24"/>
      <c r="AF24"/>
      <c r="AK24">
        <f t="shared" si="2"/>
        <v>17</v>
      </c>
      <c r="AL24">
        <f>IF(Table97[[#This Row],[Distance from Tip (in)]]&lt;&gt;0,($E$56*Table97[[#This Row],[Distance from Tip (in)]])-($G$56*(Table97[[#This Row],[Distance from Tip (in)]]^2)/2), 0)</f>
        <v>946.90310309098084</v>
      </c>
      <c r="AM24">
        <f t="shared" si="3"/>
        <v>131</v>
      </c>
      <c r="AN24" s="24">
        <f>IF(AND(Table97[[#This Row],[Distance from Tip (in)2]] &lt;&gt; ROUND($J$16,0),AN23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3613.3654961130087</v>
      </c>
    </row>
    <row r="25" spans="4:43" x14ac:dyDescent="0.25">
      <c r="X25">
        <f t="shared" si="0"/>
        <v>18</v>
      </c>
      <c r="Y25">
        <f>IF(Table9[[#This Row],[Distance from Tip (in)]]&lt;&gt;0, ($E$64)-($F$64)*(X24), 0)</f>
        <v>56.812294955891574</v>
      </c>
      <c r="Z25">
        <f t="shared" si="1"/>
        <v>132</v>
      </c>
      <c r="AA25" s="24">
        <f>IF(AND(Table9[[#This Row],[Distance from Tip (in)2]] &lt;&gt; ROUND($J$16,0),AA24 &lt;&gt;0 ), ($G$68)-($F$68*(Z25-$D$68)),0)</f>
        <v>-1.8864067523139596</v>
      </c>
      <c r="AC25" s="24"/>
      <c r="AF25"/>
      <c r="AK25">
        <f t="shared" si="2"/>
        <v>18</v>
      </c>
      <c r="AL25">
        <f>IF(Table97[[#This Row],[Distance from Tip (in)]]&lt;&gt;0,($E$56*Table97[[#This Row],[Distance from Tip (in)]])-($G$56*(Table97[[#This Row],[Distance from Tip (in)]]^2)/2), 0)</f>
        <v>1003.7808164245859</v>
      </c>
      <c r="AM25">
        <f t="shared" si="3"/>
        <v>132</v>
      </c>
      <c r="AN25" s="24">
        <f>IF(AND(Table97[[#This Row],[Distance from Tip (in)2]] &lt;&gt; ROUND($J$16,0),AN24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3427.4121105922386</v>
      </c>
    </row>
    <row r="26" spans="4:43" ht="30" x14ac:dyDescent="0.25">
      <c r="E26" s="23" t="s">
        <v>139</v>
      </c>
      <c r="F26" s="23" t="s">
        <v>108</v>
      </c>
      <c r="G26" s="23" t="s">
        <v>140</v>
      </c>
      <c r="H26" s="28" t="s">
        <v>30</v>
      </c>
      <c r="X26">
        <f t="shared" si="0"/>
        <v>19</v>
      </c>
      <c r="Y26">
        <f>IF(Table9[[#This Row],[Distance from Tip (in)]]&lt;&gt;0, ($E$64)-($F$64)*(X25), 0)</f>
        <v>56.943131711318401</v>
      </c>
      <c r="Z26">
        <f t="shared" si="1"/>
        <v>133</v>
      </c>
      <c r="AA26" s="24">
        <f>IF(AND(Table9[[#This Row],[Distance from Tip (in)2]] &lt;&gt; ROUND($J$16,0),AA25 &lt;&gt;0 ), ($G$68)-($F$68*(Z26-$D$68)),0)</f>
        <v>-6.1093855939051025</v>
      </c>
      <c r="AC26" s="24"/>
      <c r="AF26"/>
      <c r="AK26">
        <f t="shared" si="2"/>
        <v>19</v>
      </c>
      <c r="AL26">
        <f>IF(Table97[[#This Row],[Distance from Tip (in)]]&lt;&gt;0,($E$56*Table97[[#This Row],[Distance from Tip (in)]])-($G$56*(Table97[[#This Row],[Distance from Tip (in)]]^2)/2), 0)</f>
        <v>1060.7893665136176</v>
      </c>
      <c r="AM26">
        <f t="shared" si="3"/>
        <v>133</v>
      </c>
      <c r="AN26" s="24">
        <f>IF(AND(Table97[[#This Row],[Distance from Tip (in)2]] &lt;&gt; ROUND($J$16,0),AN25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3245.6817039130983</v>
      </c>
    </row>
    <row r="27" spans="4:43" x14ac:dyDescent="0.25">
      <c r="E27" s="26">
        <f>E3*(0.3048)</f>
        <v>289.8648</v>
      </c>
      <c r="F27" s="26">
        <f>D3</f>
        <v>1.0069999999999999</v>
      </c>
      <c r="G27" s="42">
        <f>0.5*F27*E27^2</f>
        <v>42304.876747496637</v>
      </c>
      <c r="H27" s="42">
        <f>G27*(0.00014504)</f>
        <v>6.1358993234569121</v>
      </c>
      <c r="X27">
        <f t="shared" si="0"/>
        <v>20</v>
      </c>
      <c r="Y27">
        <f>IF(Table9[[#This Row],[Distance from Tip (in)]]&lt;&gt;0, ($E$64)-($F$64)*(X26), 0)</f>
        <v>57.073968466745221</v>
      </c>
      <c r="Z27">
        <f t="shared" si="1"/>
        <v>134</v>
      </c>
      <c r="AA27" s="24">
        <f>IF(AND(Table9[[#This Row],[Distance from Tip (in)2]] &lt;&gt; ROUND($J$16,0),AA26 &lt;&gt;0 ), ($G$68)-($F$68*(Z27-$D$68)),0)</f>
        <v>-10.332364435496231</v>
      </c>
      <c r="AC27" s="24"/>
      <c r="AF27"/>
      <c r="AK27">
        <f t="shared" si="2"/>
        <v>20</v>
      </c>
      <c r="AL27">
        <f>IF(Table97[[#This Row],[Distance from Tip (in)]]&lt;&gt;0,($E$56*Table97[[#This Row],[Distance from Tip (in)]])-($G$56*(Table97[[#This Row],[Distance from Tip (in)]]^2)/2), 0)</f>
        <v>1117.9287533580762</v>
      </c>
      <c r="AM27">
        <f t="shared" si="3"/>
        <v>134</v>
      </c>
      <c r="AN27" s="24">
        <f>IF(AND(Table97[[#This Row],[Distance from Tip (in)2]] &lt;&gt; ROUND($J$16,0),AN26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3068.1742760755151</v>
      </c>
    </row>
    <row r="28" spans="4:43" x14ac:dyDescent="0.25">
      <c r="X28">
        <f t="shared" si="0"/>
        <v>21</v>
      </c>
      <c r="Y28">
        <f>IF(Table9[[#This Row],[Distance from Tip (in)]]&lt;&gt;0, ($E$64)-($F$64)*(X27), 0)</f>
        <v>57.204805222172041</v>
      </c>
      <c r="Z28">
        <f t="shared" si="1"/>
        <v>135</v>
      </c>
      <c r="AA28" s="24">
        <f>IF(AND(Table9[[#This Row],[Distance from Tip (in)2]] &lt;&gt; ROUND($J$16,0),AA27 &lt;&gt;0 ), ($G$68)-($F$68*(Z28-$D$68)),0)</f>
        <v>-14.555343277087374</v>
      </c>
      <c r="AC28" s="24"/>
      <c r="AF28"/>
      <c r="AK28">
        <f t="shared" si="2"/>
        <v>21</v>
      </c>
      <c r="AL28">
        <f>IF(Table97[[#This Row],[Distance from Tip (in)]]&lt;&gt;0,($E$56*Table97[[#This Row],[Distance from Tip (in)]])-($G$56*(Table97[[#This Row],[Distance from Tip (in)]]^2)/2), 0)</f>
        <v>1175.1989769579618</v>
      </c>
      <c r="AM28">
        <f t="shared" si="3"/>
        <v>135</v>
      </c>
      <c r="AN28" s="24">
        <f>IF(AND(Table97[[#This Row],[Distance from Tip (in)2]] &lt;&gt; ROUND($J$16,0),AN27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2894.8898270795471</v>
      </c>
    </row>
    <row r="29" spans="4:43" x14ac:dyDescent="0.25">
      <c r="X29">
        <f t="shared" si="0"/>
        <v>22</v>
      </c>
      <c r="Y29">
        <f>IF(Table9[[#This Row],[Distance from Tip (in)]]&lt;&gt;0, ($E$64)-($F$64)*(X28), 0)</f>
        <v>57.335641977598868</v>
      </c>
      <c r="Z29">
        <f t="shared" si="1"/>
        <v>136</v>
      </c>
      <c r="AA29" s="24">
        <f>IF(AND(Table9[[#This Row],[Distance from Tip (in)2]] &lt;&gt; ROUND($J$16,0),AA28 &lt;&gt;0 ), ($G$68)-($F$68*(Z29-$D$68)),0)</f>
        <v>-18.778322118678503</v>
      </c>
      <c r="AC29" s="24"/>
      <c r="AF29"/>
      <c r="AK29">
        <f t="shared" si="2"/>
        <v>22</v>
      </c>
      <c r="AL29">
        <f>IF(Table97[[#This Row],[Distance from Tip (in)]]&lt;&gt;0,($E$56*Table97[[#This Row],[Distance from Tip (in)]])-($G$56*(Table97[[#This Row],[Distance from Tip (in)]]^2)/2), 0)</f>
        <v>1232.600037313274</v>
      </c>
      <c r="AM29">
        <f t="shared" si="3"/>
        <v>136</v>
      </c>
      <c r="AN29" s="24">
        <f>IF(AND(Table97[[#This Row],[Distance from Tip (in)2]] &lt;&gt; ROUND($J$16,0),AN28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2725.8283569251944</v>
      </c>
    </row>
    <row r="30" spans="4:43" ht="30" x14ac:dyDescent="0.25">
      <c r="D30" s="23" t="s">
        <v>141</v>
      </c>
      <c r="E30" s="23" t="s">
        <v>142</v>
      </c>
      <c r="F30" s="23" t="s">
        <v>133</v>
      </c>
      <c r="G30" s="23" t="s">
        <v>26</v>
      </c>
      <c r="H30" s="23" t="s">
        <v>143</v>
      </c>
      <c r="X30">
        <f t="shared" si="0"/>
        <v>23</v>
      </c>
      <c r="Y30">
        <f>IF(Table9[[#This Row],[Distance from Tip (in)]]&lt;&gt;0, ($E$64)-($F$64)*(X29), 0)</f>
        <v>57.466478733025689</v>
      </c>
      <c r="Z30">
        <f t="shared" si="1"/>
        <v>137</v>
      </c>
      <c r="AA30" s="24">
        <f>IF(AND(Table9[[#This Row],[Distance from Tip (in)2]] &lt;&gt; ROUND($J$16,0),AA29 &lt;&gt;0 ), ($G$68)-($F$68*(Z30-$D$68)),0)</f>
        <v>-23.001300960269646</v>
      </c>
      <c r="AC30" s="24"/>
      <c r="AF30"/>
      <c r="AK30">
        <f t="shared" si="2"/>
        <v>23</v>
      </c>
      <c r="AL30">
        <f>IF(Table97[[#This Row],[Distance from Tip (in)]]&lt;&gt;0,($E$56*Table97[[#This Row],[Distance from Tip (in)]])-($G$56*(Table97[[#This Row],[Distance from Tip (in)]]^2)/2), 0)</f>
        <v>1290.131934424013</v>
      </c>
      <c r="AM30">
        <f t="shared" si="3"/>
        <v>137</v>
      </c>
      <c r="AN30" s="24">
        <f>IF(AND(Table97[[#This Row],[Distance from Tip (in)2]] &lt;&gt; ROUND($J$16,0),AN29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2560.9898656123842</v>
      </c>
    </row>
    <row r="31" spans="4:43" x14ac:dyDescent="0.25">
      <c r="D31" s="26">
        <f>H27</f>
        <v>6.1358993234569121</v>
      </c>
      <c r="E31" s="26">
        <f>D16</f>
        <v>28.652581637800349</v>
      </c>
      <c r="F31" s="26">
        <f>F16</f>
        <v>0.12740903539558607</v>
      </c>
      <c r="G31" s="26">
        <f>H3</f>
        <v>2.4369999999999998</v>
      </c>
      <c r="H31" s="27">
        <f>D31*E31*F31*G31</f>
        <v>54.588070113635581</v>
      </c>
      <c r="X31">
        <f t="shared" si="0"/>
        <v>24</v>
      </c>
      <c r="Y31">
        <f>IF(Table9[[#This Row],[Distance from Tip (in)]]&lt;&gt;0, ($E$64)-($F$64)*(X30), 0)</f>
        <v>57.597315488452516</v>
      </c>
      <c r="Z31">
        <f t="shared" si="1"/>
        <v>138</v>
      </c>
      <c r="AA31" s="24">
        <f>IF(AND(Table9[[#This Row],[Distance from Tip (in)2]] &lt;&gt; ROUND($J$16,0),AA30 &lt;&gt;0 ), ($G$68)-($F$68*(Z31-$D$68)),0)</f>
        <v>-27.224279801860774</v>
      </c>
      <c r="AC31" s="24"/>
      <c r="AF31"/>
      <c r="AK31">
        <f t="shared" si="2"/>
        <v>24</v>
      </c>
      <c r="AL31">
        <f>IF(Table97[[#This Row],[Distance from Tip (in)]]&lt;&gt;0,($E$56*Table97[[#This Row],[Distance from Tip (in)]])-($G$56*(Table97[[#This Row],[Distance from Tip (in)]]^2)/2), 0)</f>
        <v>1347.7946682901791</v>
      </c>
      <c r="AM31">
        <f t="shared" si="3"/>
        <v>138</v>
      </c>
      <c r="AN31" s="24">
        <f>IF(AND(Table97[[#This Row],[Distance from Tip (in)2]] &lt;&gt; ROUND($J$16,0),AN30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2400.3743531412038</v>
      </c>
      <c r="AP31" s="23" t="s">
        <v>144</v>
      </c>
      <c r="AQ31" s="23" t="s">
        <v>145</v>
      </c>
    </row>
    <row r="32" spans="4:43" x14ac:dyDescent="0.25">
      <c r="X32">
        <f t="shared" si="0"/>
        <v>25</v>
      </c>
      <c r="Y32">
        <f>IF(Table9[[#This Row],[Distance from Tip (in)]]&lt;&gt;0, ($E$64)-($F$64)*(X31), 0)</f>
        <v>57.728152243879336</v>
      </c>
      <c r="Z32">
        <f t="shared" si="1"/>
        <v>139</v>
      </c>
      <c r="AA32" s="24">
        <f>IF(AND(Table9[[#This Row],[Distance from Tip (in)2]] &lt;&gt; ROUND($J$16,0),AA31 &lt;&gt;0 ), ($G$68)-($F$68*(Z32-$D$68)),0)</f>
        <v>-31.447258643451917</v>
      </c>
      <c r="AC32" s="23" t="s">
        <v>146</v>
      </c>
      <c r="AD32" s="23" t="s">
        <v>147</v>
      </c>
      <c r="AF32"/>
      <c r="AK32">
        <f t="shared" si="2"/>
        <v>25</v>
      </c>
      <c r="AL32">
        <f>IF(Table97[[#This Row],[Distance from Tip (in)]]&lt;&gt;0,($E$56*Table97[[#This Row],[Distance from Tip (in)]])-($G$56*(Table97[[#This Row],[Distance from Tip (in)]]^2)/2), 0)</f>
        <v>1405.5882389117719</v>
      </c>
      <c r="AM32">
        <f t="shared" si="3"/>
        <v>139</v>
      </c>
      <c r="AN32" s="24">
        <f>IF(AND(Table97[[#This Row],[Distance from Tip (in)2]] &lt;&gt; ROUND($J$16,0),AN31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2243.9818195115658</v>
      </c>
      <c r="AO32" s="23" t="s">
        <v>148</v>
      </c>
      <c r="AP32" s="27">
        <f>MAX(Table97[Moment M1])</f>
        <v>7142.7861083279604</v>
      </c>
      <c r="AQ32" s="27">
        <f>MAX(Table97[Moment M2])</f>
        <v>7162.9447869013529</v>
      </c>
    </row>
    <row r="33" spans="3:43" ht="30" x14ac:dyDescent="0.25">
      <c r="X33">
        <f t="shared" si="0"/>
        <v>26</v>
      </c>
      <c r="Y33">
        <f>IF(Table9[[#This Row],[Distance from Tip (in)]]&lt;&gt;0, ($E$64)-($F$64)*(X32), 0)</f>
        <v>57.858988999306163</v>
      </c>
      <c r="Z33">
        <f t="shared" si="1"/>
        <v>140</v>
      </c>
      <c r="AA33" s="24">
        <f>IF(AND(Table9[[#This Row],[Distance from Tip (in)2]] &lt;&gt; ROUND($J$16,0),AA32 &lt;&gt;0 ), ($G$68)-($F$68*(Z33-$D$68)),0)</f>
        <v>-35.670237485043046</v>
      </c>
      <c r="AB33" s="23" t="s">
        <v>149</v>
      </c>
      <c r="AC33" s="27">
        <f>MAX(Table9[Shear V1])</f>
        <v>69.503460232293421</v>
      </c>
      <c r="AD33" s="27">
        <f>MAX(Table9[Shear V2])</f>
        <v>69.904233554735342</v>
      </c>
      <c r="AF33"/>
      <c r="AK33">
        <f t="shared" si="2"/>
        <v>26</v>
      </c>
      <c r="AL33">
        <f>IF(Table97[[#This Row],[Distance from Tip (in)]]&lt;&gt;0,($E$56*Table97[[#This Row],[Distance from Tip (in)]])-($G$56*(Table97[[#This Row],[Distance from Tip (in)]]^2)/2), 0)</f>
        <v>1463.5126462887913</v>
      </c>
      <c r="AM33">
        <f t="shared" si="3"/>
        <v>140</v>
      </c>
      <c r="AN33" s="24">
        <f>IF(AND(Table97[[#This Row],[Distance from Tip (in)2]] &lt;&gt; ROUND($J$16,0),AN32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2091.8122647235577</v>
      </c>
      <c r="AO33" s="23" t="s">
        <v>122</v>
      </c>
      <c r="AP33" s="27">
        <f>_xlfn.XLOOKUP(AP32,Table97[Moment M1],Table97[Distance from Tip (in)])</f>
        <v>115</v>
      </c>
      <c r="AQ33" s="27">
        <f>_xlfn.XLOOKUP(AQ32,Table97[Moment M2],Table97[Distance from Tip (in)2])</f>
        <v>115</v>
      </c>
    </row>
    <row r="34" spans="3:43" ht="30" x14ac:dyDescent="0.25">
      <c r="X34">
        <f t="shared" si="0"/>
        <v>27</v>
      </c>
      <c r="Y34">
        <f>IF(Table9[[#This Row],[Distance from Tip (in)]]&lt;&gt;0, ($E$64)-($F$64)*(X33), 0)</f>
        <v>57.989825754732983</v>
      </c>
      <c r="Z34">
        <f t="shared" si="1"/>
        <v>141</v>
      </c>
      <c r="AA34" s="24">
        <f>IF(AND(Table9[[#This Row],[Distance from Tip (in)2]] &lt;&gt; ROUND($J$16,0),AA33 &lt;&gt;0 ), ($G$68)-($F$68*(Z34-$D$68)),0)</f>
        <v>-39.893216326634189</v>
      </c>
      <c r="AB34" s="23" t="s">
        <v>122</v>
      </c>
      <c r="AC34" s="27">
        <f>_xlfn.XLOOKUP(AC33,Table9[Shear V1],Table9[Distance from Tip (in)])</f>
        <v>115</v>
      </c>
      <c r="AD34" s="27">
        <f>_xlfn.XLOOKUP(AD33,Table9[Shear V2],Table9[Distance from Tip (in)2])</f>
        <v>115</v>
      </c>
      <c r="AF34"/>
      <c r="AK34">
        <f t="shared" si="2"/>
        <v>27</v>
      </c>
      <c r="AL34">
        <f>IF(Table97[[#This Row],[Distance from Tip (in)]]&lt;&gt;0,($E$56*Table97[[#This Row],[Distance from Tip (in)]])-($G$56*(Table97[[#This Row],[Distance from Tip (in)]]^2)/2), 0)</f>
        <v>1521.5678904212375</v>
      </c>
      <c r="AM34">
        <f t="shared" si="3"/>
        <v>141</v>
      </c>
      <c r="AN34" s="24">
        <f>IF(AND(Table97[[#This Row],[Distance from Tip (in)2]] &lt;&gt; ROUND($J$16,0),AN33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1943.8656887771212</v>
      </c>
    </row>
    <row r="35" spans="3:43" x14ac:dyDescent="0.25">
      <c r="X35">
        <f t="shared" si="0"/>
        <v>28</v>
      </c>
      <c r="Y35">
        <f>IF(Table9[[#This Row],[Distance from Tip (in)]]&lt;&gt;0, ($E$64)-($F$64)*(X34), 0)</f>
        <v>58.120662510159804</v>
      </c>
      <c r="Z35">
        <f t="shared" si="1"/>
        <v>142</v>
      </c>
      <c r="AA35" s="24">
        <f>IF(AND(Table9[[#This Row],[Distance from Tip (in)2]] &lt;&gt; ROUND($J$16,0),AA34 &lt;&gt;0 ), ($G$68)-($F$68*(Z35-$D$68)),0)</f>
        <v>-44.116195168225318</v>
      </c>
      <c r="AC35" s="24"/>
      <c r="AF35"/>
      <c r="AK35">
        <f t="shared" si="2"/>
        <v>28</v>
      </c>
      <c r="AL35">
        <f>IF(Table97[[#This Row],[Distance from Tip (in)]]&lt;&gt;0,($E$56*Table97[[#This Row],[Distance from Tip (in)]])-($G$56*(Table97[[#This Row],[Distance from Tip (in)]]^2)/2), 0)</f>
        <v>1579.753971309111</v>
      </c>
      <c r="AM35">
        <f t="shared" si="3"/>
        <v>142</v>
      </c>
      <c r="AN35" s="24">
        <f>IF(AND(Table97[[#This Row],[Distance from Tip (in)2]] &lt;&gt; ROUND($J$16,0),AN34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1800.1420916723</v>
      </c>
    </row>
    <row r="36" spans="3:43" x14ac:dyDescent="0.25">
      <c r="X36">
        <f t="shared" si="0"/>
        <v>29</v>
      </c>
      <c r="Y36">
        <f>IF(Table9[[#This Row],[Distance from Tip (in)]]&lt;&gt;0, ($E$64)-($F$64)*(X35), 0)</f>
        <v>58.251499265586631</v>
      </c>
      <c r="Z36">
        <f t="shared" si="1"/>
        <v>143</v>
      </c>
      <c r="AA36" s="24">
        <f>IF(AND(Table9[[#This Row],[Distance from Tip (in)2]] &lt;&gt; ROUND($J$16,0),AA35 &lt;&gt;0 ), ($G$68)-($F$68*(Z36-$D$68)),0)</f>
        <v>-48.33917400981646</v>
      </c>
      <c r="AC36" s="24"/>
      <c r="AF36"/>
      <c r="AK36">
        <f t="shared" si="2"/>
        <v>29</v>
      </c>
      <c r="AL36">
        <f>IF(Table97[[#This Row],[Distance from Tip (in)]]&lt;&gt;0,($E$56*Table97[[#This Row],[Distance from Tip (in)]])-($G$56*(Table97[[#This Row],[Distance from Tip (in)]]^2)/2), 0)</f>
        <v>1638.070888952411</v>
      </c>
      <c r="AM36">
        <f t="shared" si="3"/>
        <v>143</v>
      </c>
      <c r="AN36" s="24">
        <f>IF(AND(Table97[[#This Row],[Distance from Tip (in)2]] &lt;&gt; ROUND($J$16,0),AN35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1660.6414734090649</v>
      </c>
    </row>
    <row r="37" spans="3:43" ht="45" x14ac:dyDescent="0.25">
      <c r="D37" s="23" t="s">
        <v>141</v>
      </c>
      <c r="E37" s="23" t="s">
        <v>132</v>
      </c>
      <c r="F37" s="23" t="s">
        <v>133</v>
      </c>
      <c r="G37" s="23" t="s">
        <v>27</v>
      </c>
      <c r="H37" s="23" t="s">
        <v>150</v>
      </c>
      <c r="X37">
        <f t="shared" si="0"/>
        <v>30</v>
      </c>
      <c r="Y37">
        <f>IF(Table9[[#This Row],[Distance from Tip (in)]]&lt;&gt;0, ($E$64)-($F$64)*(X36), 0)</f>
        <v>58.382336021013451</v>
      </c>
      <c r="Z37">
        <f t="shared" si="1"/>
        <v>144</v>
      </c>
      <c r="AA37" s="24">
        <f>IF(AND(Table9[[#This Row],[Distance from Tip (in)2]] &lt;&gt; ROUND($J$16,0),AA36 &lt;&gt;0 ), ($G$68)-($F$68*(Z37-$D$68)),0)</f>
        <v>-52.562152851407589</v>
      </c>
      <c r="AC37" s="24"/>
      <c r="AF37"/>
      <c r="AK37">
        <f t="shared" si="2"/>
        <v>30</v>
      </c>
      <c r="AL37">
        <f>IF(Table97[[#This Row],[Distance from Tip (in)]]&lt;&gt;0,($E$56*Table97[[#This Row],[Distance from Tip (in)]])-($G$56*(Table97[[#This Row],[Distance from Tip (in)]]^2)/2), 0)</f>
        <v>1696.5186433511378</v>
      </c>
      <c r="AM37">
        <f t="shared" si="3"/>
        <v>144</v>
      </c>
      <c r="AN37" s="24">
        <f>IF(AND(Table97[[#This Row],[Distance from Tip (in)2]] &lt;&gt; ROUND($J$16,0),AN36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1525.3638339873869</v>
      </c>
    </row>
    <row r="38" spans="3:43" x14ac:dyDescent="0.25">
      <c r="D38" s="26">
        <f>H27</f>
        <v>6.1358993234569121</v>
      </c>
      <c r="E38" s="26">
        <f>E16</f>
        <v>37.375</v>
      </c>
      <c r="F38" s="26">
        <f>F16</f>
        <v>0.12740903539558607</v>
      </c>
      <c r="G38" s="26">
        <f>I3</f>
        <v>8.74</v>
      </c>
      <c r="H38" s="27">
        <f>D38*E38*F38*G38</f>
        <v>255.37071171882184</v>
      </c>
      <c r="X38">
        <f t="shared" si="0"/>
        <v>31</v>
      </c>
      <c r="Y38">
        <f>IF(Table9[[#This Row],[Distance from Tip (in)]]&lt;&gt;0, ($E$64)-($F$64)*(X37), 0)</f>
        <v>58.513172776440278</v>
      </c>
      <c r="Z38">
        <f t="shared" si="1"/>
        <v>145</v>
      </c>
      <c r="AA38" s="24">
        <f>IF(AND(Table9[[#This Row],[Distance from Tip (in)2]] &lt;&gt; ROUND($J$16,0),AA37 &lt;&gt;0 ), ($G$68)-($F$68*(Z38-$D$68)),0)</f>
        <v>-56.785131692998732</v>
      </c>
      <c r="AC38" s="24"/>
      <c r="AF38"/>
      <c r="AK38">
        <f t="shared" si="2"/>
        <v>31</v>
      </c>
      <c r="AL38">
        <f>IF(Table97[[#This Row],[Distance from Tip (in)]]&lt;&gt;0,($E$56*Table97[[#This Row],[Distance from Tip (in)]])-($G$56*(Table97[[#This Row],[Distance from Tip (in)]]^2)/2), 0)</f>
        <v>1755.0972345052915</v>
      </c>
      <c r="AM38">
        <f t="shared" si="3"/>
        <v>145</v>
      </c>
      <c r="AN38" s="24">
        <f>IF(AND(Table97[[#This Row],[Distance from Tip (in)2]] &lt;&gt; ROUND($J$16,0),AN37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1394.3091734073241</v>
      </c>
    </row>
    <row r="39" spans="3:43" x14ac:dyDescent="0.25">
      <c r="X39">
        <f t="shared" si="0"/>
        <v>32</v>
      </c>
      <c r="Y39">
        <f>IF(Table9[[#This Row],[Distance from Tip (in)]]&lt;&gt;0, ($E$64)-($F$64)*(X38), 0)</f>
        <v>58.644009531867098</v>
      </c>
      <c r="Z39">
        <f t="shared" si="1"/>
        <v>146</v>
      </c>
      <c r="AA39" s="24">
        <f>IF(AND(Table9[[#This Row],[Distance from Tip (in)2]] &lt;&gt; ROUND($J$16,0),AA38 &lt;&gt;0 ), ($G$68)-($F$68*(Z39-$D$68)),0)</f>
        <v>-61.008110534589861</v>
      </c>
      <c r="AC39" s="24"/>
      <c r="AF39"/>
      <c r="AK39">
        <f t="shared" si="2"/>
        <v>32</v>
      </c>
      <c r="AL39">
        <f>IF(Table97[[#This Row],[Distance from Tip (in)]]&lt;&gt;0,($E$56*Table97[[#This Row],[Distance from Tip (in)]])-($G$56*(Table97[[#This Row],[Distance from Tip (in)]]^2)/2), 0)</f>
        <v>1813.8066624148721</v>
      </c>
      <c r="AM39">
        <f t="shared" si="3"/>
        <v>146</v>
      </c>
      <c r="AN39" s="24">
        <f>IF(AND(Table97[[#This Row],[Distance from Tip (in)2]] &lt;&gt; ROUND($J$16,0),AN38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1267.4774916688621</v>
      </c>
    </row>
    <row r="40" spans="3:43" x14ac:dyDescent="0.25">
      <c r="X40">
        <f t="shared" si="0"/>
        <v>33</v>
      </c>
      <c r="Y40">
        <f>IF(Table9[[#This Row],[Distance from Tip (in)]]&lt;&gt;0, ($E$64)-($F$64)*(X39), 0)</f>
        <v>58.774846287293926</v>
      </c>
      <c r="Z40">
        <f t="shared" si="1"/>
        <v>147</v>
      </c>
      <c r="AA40" s="24">
        <f>IF(AND(Table9[[#This Row],[Distance from Tip (in)2]] &lt;&gt; ROUND($J$16,0),AA39 &lt;&gt;0 ), ($G$68)-($F$68*(Z40-$D$68)),0)</f>
        <v>-65.231089376180989</v>
      </c>
      <c r="AC40" s="24"/>
      <c r="AF40"/>
      <c r="AK40">
        <f t="shared" si="2"/>
        <v>33</v>
      </c>
      <c r="AL40">
        <f>IF(Table97[[#This Row],[Distance from Tip (in)]]&lt;&gt;0,($E$56*Table97[[#This Row],[Distance from Tip (in)]])-($G$56*(Table97[[#This Row],[Distance from Tip (in)]]^2)/2), 0)</f>
        <v>1872.6469270798796</v>
      </c>
      <c r="AM40">
        <f t="shared" si="3"/>
        <v>147</v>
      </c>
      <c r="AN40" s="24">
        <f>IF(AND(Table97[[#This Row],[Distance from Tip (in)2]] &lt;&gt; ROUND($J$16,0),AN39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1144.8687887720007</v>
      </c>
    </row>
    <row r="41" spans="3:43" ht="30" x14ac:dyDescent="0.25">
      <c r="C41" s="23" t="s">
        <v>108</v>
      </c>
      <c r="D41" s="23" t="s">
        <v>139</v>
      </c>
      <c r="E41" s="23" t="s">
        <v>151</v>
      </c>
      <c r="F41" s="23" t="s">
        <v>152</v>
      </c>
      <c r="G41" s="23" t="s">
        <v>153</v>
      </c>
      <c r="H41" s="23" t="s">
        <v>33</v>
      </c>
      <c r="X41">
        <f t="shared" ref="X41:X72" si="4">IF(AND(X40 &lt;&gt; $Z$8, X40 &lt;&gt; 0),X40+1,0)</f>
        <v>34</v>
      </c>
      <c r="Y41">
        <f>IF(Table9[[#This Row],[Distance from Tip (in)]]&lt;&gt;0, ($E$64)-($F$64)*(X40), 0)</f>
        <v>58.905683042720746</v>
      </c>
      <c r="Z41">
        <f t="shared" ref="Z41:Z72" si="5">IF(AND(Z40 &lt;&gt;ROUND( $J$16,0), Z40 &lt;&gt; 0),Z40+1,0)</f>
        <v>148</v>
      </c>
      <c r="AA41" s="24">
        <f>IF(AND(Table9[[#This Row],[Distance from Tip (in)2]] &lt;&gt; ROUND($J$16,0),AA40 &lt;&gt;0 ), ($G$68)-($F$68*(Z41-$D$68)),0)</f>
        <v>-69.454068217772146</v>
      </c>
      <c r="AC41" s="24"/>
      <c r="AF41"/>
      <c r="AK41">
        <f t="shared" ref="AK41:AK72" si="6">IF(AND(AK40 &lt;&gt; $Z$8, AK40 &lt;&gt; 0),AK40+1,0)</f>
        <v>34</v>
      </c>
      <c r="AL41">
        <f>IF(Table97[[#This Row],[Distance from Tip (in)]]&lt;&gt;0,($E$56*Table97[[#This Row],[Distance from Tip (in)]])-($G$56*(Table97[[#This Row],[Distance from Tip (in)]]^2)/2), 0)</f>
        <v>1931.6180285003136</v>
      </c>
      <c r="AM41">
        <f t="shared" ref="AM41:AM72" si="7">IF(AND(AM40 &lt;&gt;ROUND( $J$16,0), AM40 &lt;&gt; 0),AM40+1,0)</f>
        <v>148</v>
      </c>
      <c r="AN41" s="24">
        <f>IF(AND(Table97[[#This Row],[Distance from Tip (in)2]] &lt;&gt; ROUND($J$16,0),AN40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1026.4830647167109</v>
      </c>
    </row>
    <row r="42" spans="3:43" x14ac:dyDescent="0.25">
      <c r="C42" s="25">
        <f>D3</f>
        <v>1.0069999999999999</v>
      </c>
      <c r="D42" s="25">
        <f>E3*0.3048</f>
        <v>289.8648</v>
      </c>
      <c r="E42" s="25">
        <f>J3</f>
        <v>0.87</v>
      </c>
      <c r="F42" s="25">
        <f>D16*0.00064516</f>
        <v>1.8485499569443273E-2</v>
      </c>
      <c r="G42" s="42">
        <f>0.5*C42*D42^2*F42*E42</f>
        <v>680.36329938404378</v>
      </c>
      <c r="H42" s="42">
        <f>G42*0.22480894387096</f>
        <v>152.95175478308866</v>
      </c>
      <c r="X42">
        <f t="shared" si="4"/>
        <v>35</v>
      </c>
      <c r="Y42">
        <f>IF(Table9[[#This Row],[Distance from Tip (in)]]&lt;&gt;0, ($E$64)-($F$64)*(X41), 0)</f>
        <v>59.036519798147566</v>
      </c>
      <c r="Z42">
        <f t="shared" si="5"/>
        <v>149</v>
      </c>
      <c r="AA42" s="24">
        <f>IF(AND(Table9[[#This Row],[Distance from Tip (in)2]] &lt;&gt; ROUND($J$16,0),AA41 &lt;&gt;0 ), ($G$68)-($F$68*(Z42-$D$68)),0)</f>
        <v>-73.677047059363275</v>
      </c>
      <c r="AC42" s="24"/>
      <c r="AF42"/>
      <c r="AK42">
        <f t="shared" si="6"/>
        <v>35</v>
      </c>
      <c r="AL42">
        <f>IF(Table97[[#This Row],[Distance from Tip (in)]]&lt;&gt;0,($E$56*Table97[[#This Row],[Distance from Tip (in)]])-($G$56*(Table97[[#This Row],[Distance from Tip (in)]]^2)/2), 0)</f>
        <v>1990.7199666761744</v>
      </c>
      <c r="AM42">
        <f t="shared" si="7"/>
        <v>149</v>
      </c>
      <c r="AN42" s="24">
        <f>IF(AND(Table97[[#This Row],[Distance from Tip (in)2]] &lt;&gt; ROUND($J$16,0),AN41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912.32031950299279</v>
      </c>
    </row>
    <row r="43" spans="3:43" x14ac:dyDescent="0.25">
      <c r="X43">
        <f t="shared" si="4"/>
        <v>36</v>
      </c>
      <c r="Y43">
        <f>IF(Table9[[#This Row],[Distance from Tip (in)]]&lt;&gt;0, ($E$64)-($F$64)*(X42), 0)</f>
        <v>59.167356553574393</v>
      </c>
      <c r="Z43">
        <f t="shared" si="5"/>
        <v>150</v>
      </c>
      <c r="AA43" s="24">
        <f>IF(AND(Table9[[#This Row],[Distance from Tip (in)2]] &lt;&gt; ROUND($J$16,0),AA42 &lt;&gt;0 ), ($G$68)-($F$68*(Z43-$D$68)),0)</f>
        <v>-77.900025900954404</v>
      </c>
      <c r="AC43" s="24"/>
      <c r="AF43"/>
      <c r="AK43">
        <f t="shared" si="6"/>
        <v>36</v>
      </c>
      <c r="AL43">
        <f>IF(Table97[[#This Row],[Distance from Tip (in)]]&lt;&gt;0,($E$56*Table97[[#This Row],[Distance from Tip (in)]])-($G$56*(Table97[[#This Row],[Distance from Tip (in)]]^2)/2), 0)</f>
        <v>2049.9527416074625</v>
      </c>
      <c r="AM43">
        <f t="shared" si="7"/>
        <v>150</v>
      </c>
      <c r="AN43" s="24">
        <f>IF(AND(Table97[[#This Row],[Distance from Tip (in)2]] &lt;&gt; ROUND($J$16,0),AN42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802.38055313087534</v>
      </c>
    </row>
    <row r="44" spans="3:43" ht="30" x14ac:dyDescent="0.25">
      <c r="C44" s="23" t="s">
        <v>108</v>
      </c>
      <c r="D44" s="23" t="s">
        <v>139</v>
      </c>
      <c r="E44" s="23" t="s">
        <v>154</v>
      </c>
      <c r="F44" s="23" t="s">
        <v>152</v>
      </c>
      <c r="G44" s="23" t="s">
        <v>155</v>
      </c>
      <c r="H44" s="23" t="s">
        <v>34</v>
      </c>
      <c r="X44">
        <f t="shared" si="4"/>
        <v>37</v>
      </c>
      <c r="Y44">
        <f>IF(Table9[[#This Row],[Distance from Tip (in)]]&lt;&gt;0, ($E$64)-($F$64)*(X43), 0)</f>
        <v>59.298193309001213</v>
      </c>
      <c r="Z44">
        <f t="shared" si="5"/>
        <v>151</v>
      </c>
      <c r="AA44" s="24">
        <f>IF(AND(Table9[[#This Row],[Distance from Tip (in)2]] &lt;&gt; ROUND($J$16,0),AA43 &lt;&gt;0 ), ($G$68)-($F$68*(Z44-$D$68)),0)</f>
        <v>-82.123004742545533</v>
      </c>
      <c r="AC44" s="24"/>
      <c r="AF44"/>
      <c r="AK44">
        <f t="shared" si="6"/>
        <v>37</v>
      </c>
      <c r="AL44">
        <f>IF(Table97[[#This Row],[Distance from Tip (in)]]&lt;&gt;0,($E$56*Table97[[#This Row],[Distance from Tip (in)]])-($G$56*(Table97[[#This Row],[Distance from Tip (in)]]^2)/2), 0)</f>
        <v>2109.3163532941771</v>
      </c>
      <c r="AM44">
        <f t="shared" si="7"/>
        <v>151</v>
      </c>
      <c r="AN44" s="24">
        <f>IF(AND(Table97[[#This Row],[Distance from Tip (in)2]] &lt;&gt; ROUND($J$16,0),AN43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696.6637656003586</v>
      </c>
    </row>
    <row r="45" spans="3:43" x14ac:dyDescent="0.25">
      <c r="C45" s="25">
        <f>C42</f>
        <v>1.0069999999999999</v>
      </c>
      <c r="D45" s="25">
        <f>D42</f>
        <v>289.8648</v>
      </c>
      <c r="E45" s="25">
        <f>K3</f>
        <v>0.314</v>
      </c>
      <c r="F45" s="25">
        <f>F42</f>
        <v>1.8485499569443273E-2</v>
      </c>
      <c r="G45" s="42">
        <f>0.5*C45*D45^2*F45*E45</f>
        <v>245.55640920297674</v>
      </c>
      <c r="H45" s="42">
        <f>G45*0.22480894387096</f>
        <v>55.203277013666487</v>
      </c>
      <c r="X45">
        <f t="shared" si="4"/>
        <v>38</v>
      </c>
      <c r="Y45">
        <f>IF(Table9[[#This Row],[Distance from Tip (in)]]&lt;&gt;0, ($E$64)-($F$64)*(X44), 0)</f>
        <v>59.429030064428041</v>
      </c>
      <c r="Z45">
        <f t="shared" si="5"/>
        <v>152</v>
      </c>
      <c r="AA45" s="24">
        <f>IF(AND(Table9[[#This Row],[Distance from Tip (in)2]] &lt;&gt; ROUND($J$16,0),AA44 &lt;&gt;0 ), ($G$68)-($F$68*(Z45-$D$68)),0)</f>
        <v>-86.34598358413669</v>
      </c>
      <c r="AC45" s="24"/>
      <c r="AF45"/>
      <c r="AK45">
        <f t="shared" si="6"/>
        <v>38</v>
      </c>
      <c r="AL45">
        <f>IF(Table97[[#This Row],[Distance from Tip (in)]]&lt;&gt;0,($E$56*Table97[[#This Row],[Distance from Tip (in)]])-($G$56*(Table97[[#This Row],[Distance from Tip (in)]]^2)/2), 0)</f>
        <v>2168.8108017363184</v>
      </c>
      <c r="AM45">
        <f t="shared" si="7"/>
        <v>152</v>
      </c>
      <c r="AN45" s="24">
        <f>IF(AND(Table97[[#This Row],[Distance from Tip (in)2]] &lt;&gt; ROUND($J$16,0),AN44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595.16995691144257</v>
      </c>
    </row>
    <row r="46" spans="3:43" x14ac:dyDescent="0.25">
      <c r="J46"/>
      <c r="X46">
        <f t="shared" si="4"/>
        <v>39</v>
      </c>
      <c r="Y46">
        <f>IF(Table9[[#This Row],[Distance from Tip (in)]]&lt;&gt;0, ($E$64)-($F$64)*(X45), 0)</f>
        <v>59.559866819854861</v>
      </c>
      <c r="Z46">
        <f t="shared" si="5"/>
        <v>153</v>
      </c>
      <c r="AA46" s="24">
        <f>IF(AND(Table9[[#This Row],[Distance from Tip (in)2]] &lt;&gt; ROUND($J$16,0),AA45 &lt;&gt;0 ), ($G$68)-($F$68*(Z46-$D$68)),0)</f>
        <v>-90.568962425727818</v>
      </c>
      <c r="AC46" s="24"/>
      <c r="AF46"/>
      <c r="AK46">
        <f t="shared" si="6"/>
        <v>39</v>
      </c>
      <c r="AL46">
        <f>IF(Table97[[#This Row],[Distance from Tip (in)]]&lt;&gt;0,($E$56*Table97[[#This Row],[Distance from Tip (in)]])-($G$56*(Table97[[#This Row],[Distance from Tip (in)]]^2)/2), 0)</f>
        <v>2228.4360869338866</v>
      </c>
      <c r="AM46">
        <f t="shared" si="7"/>
        <v>153</v>
      </c>
      <c r="AN46" s="24">
        <f>IF(AND(Table97[[#This Row],[Distance from Tip (in)2]] &lt;&gt; ROUND($J$16,0),AN45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497.89912706412724</v>
      </c>
    </row>
    <row r="47" spans="3:43" x14ac:dyDescent="0.25">
      <c r="X47">
        <f t="shared" si="4"/>
        <v>40</v>
      </c>
      <c r="Y47">
        <f>IF(Table9[[#This Row],[Distance from Tip (in)]]&lt;&gt;0, ($E$64)-($F$64)*(X46), 0)</f>
        <v>59.690703575281688</v>
      </c>
      <c r="Z47">
        <f t="shared" si="5"/>
        <v>154</v>
      </c>
      <c r="AA47" s="24">
        <f>IF(AND(Table9[[#This Row],[Distance from Tip (in)2]] &lt;&gt; ROUND($J$16,0),AA46 &lt;&gt;0 ), ($G$68)-($F$68*(Z47-$D$68)),0)</f>
        <v>-94.791941267318947</v>
      </c>
      <c r="AC47" s="24"/>
      <c r="AF47"/>
      <c r="AK47">
        <f t="shared" si="6"/>
        <v>40</v>
      </c>
      <c r="AL47">
        <f>IF(Table97[[#This Row],[Distance from Tip (in)]]&lt;&gt;0,($E$56*Table97[[#This Row],[Distance from Tip (in)]])-($G$56*(Table97[[#This Row],[Distance from Tip (in)]]^2)/2), 0)</f>
        <v>2288.1922088868819</v>
      </c>
      <c r="AM47">
        <f t="shared" si="7"/>
        <v>154</v>
      </c>
      <c r="AN47" s="24">
        <f>IF(AND(Table97[[#This Row],[Distance from Tip (in)2]] &lt;&gt; ROUND($J$16,0),AN46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404.85127605838352</v>
      </c>
    </row>
    <row r="48" spans="3:43" ht="45" x14ac:dyDescent="0.25">
      <c r="D48" s="23" t="s">
        <v>143</v>
      </c>
      <c r="E48" s="23" t="s">
        <v>150</v>
      </c>
      <c r="F48" s="23" t="s">
        <v>156</v>
      </c>
      <c r="G48" s="23" t="s">
        <v>157</v>
      </c>
      <c r="H48" s="23" t="s">
        <v>158</v>
      </c>
      <c r="X48">
        <f t="shared" si="4"/>
        <v>41</v>
      </c>
      <c r="Y48">
        <f>IF(Table9[[#This Row],[Distance from Tip (in)]]&lt;&gt;0, ($E$64)-($F$64)*(X47), 0)</f>
        <v>59.821540330708508</v>
      </c>
      <c r="Z48">
        <f t="shared" si="5"/>
        <v>155</v>
      </c>
      <c r="AA48" s="24">
        <f>IF(AND(Table9[[#This Row],[Distance from Tip (in)2]] &lt;&gt; ROUND($J$16,0),AA47 &lt;&gt;0 ), ($G$68)-($F$68*(Z48-$D$68)),0)</f>
        <v>-99.014920108910076</v>
      </c>
      <c r="AC48" s="24"/>
      <c r="AF48"/>
      <c r="AK48">
        <f t="shared" si="6"/>
        <v>41</v>
      </c>
      <c r="AL48">
        <f>IF(Table97[[#This Row],[Distance from Tip (in)]]&lt;&gt;0,($E$56*Table97[[#This Row],[Distance from Tip (in)]])-($G$56*(Table97[[#This Row],[Distance from Tip (in)]]^2)/2), 0)</f>
        <v>2348.0791675953037</v>
      </c>
      <c r="AM48">
        <f t="shared" si="7"/>
        <v>155</v>
      </c>
      <c r="AN48" s="24">
        <f>IF(AND(Table97[[#This Row],[Distance from Tip (in)2]] &lt;&gt; ROUND($J$16,0),AN47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316.0264038942405</v>
      </c>
    </row>
    <row r="49" spans="4:40" x14ac:dyDescent="0.25">
      <c r="D49" s="26">
        <f>H31</f>
        <v>54.588070113635581</v>
      </c>
      <c r="E49" s="26">
        <f>H38</f>
        <v>255.37071171882184</v>
      </c>
      <c r="F49" s="26">
        <f>H16</f>
        <v>115.062</v>
      </c>
      <c r="G49" s="26">
        <f>I16</f>
        <v>76.962999999999994</v>
      </c>
      <c r="H49" s="27">
        <f>((D49+E49)-(H52*G49))/(F49)</f>
        <v>-0.13083675542682316</v>
      </c>
      <c r="X49">
        <f t="shared" si="4"/>
        <v>42</v>
      </c>
      <c r="Y49">
        <f>IF(Table9[[#This Row],[Distance from Tip (in)]]&lt;&gt;0, ($E$64)-($F$64)*(X48), 0)</f>
        <v>59.952377086135328</v>
      </c>
      <c r="Z49">
        <f t="shared" si="5"/>
        <v>156</v>
      </c>
      <c r="AA49" s="24">
        <f>IF(AND(Table9[[#This Row],[Distance from Tip (in)2]] &lt;&gt; ROUND($J$16,0),AA48 &lt;&gt;0 ), ($G$68)-($F$68*(Z49-$D$68)),0)</f>
        <v>-103.23789895050123</v>
      </c>
      <c r="AC49" s="24"/>
      <c r="AF49"/>
      <c r="AK49">
        <f t="shared" si="6"/>
        <v>42</v>
      </c>
      <c r="AL49">
        <f>IF(Table97[[#This Row],[Distance from Tip (in)]]&lt;&gt;0,($E$56*Table97[[#This Row],[Distance from Tip (in)]])-($G$56*(Table97[[#This Row],[Distance from Tip (in)]]^2)/2), 0)</f>
        <v>2408.0969630591526</v>
      </c>
      <c r="AM49">
        <f t="shared" si="7"/>
        <v>156</v>
      </c>
      <c r="AN49" s="24">
        <f>IF(AND(Table97[[#This Row],[Distance from Tip (in)2]] &lt;&gt; ROUND($J$16,0),AN48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231.42451057163998</v>
      </c>
    </row>
    <row r="50" spans="4:40" x14ac:dyDescent="0.25">
      <c r="X50">
        <f t="shared" si="4"/>
        <v>43</v>
      </c>
      <c r="Y50">
        <f>IF(Table9[[#This Row],[Distance from Tip (in)]]&lt;&gt;0, ($E$64)-($F$64)*(X49), 0)</f>
        <v>60.083213841562156</v>
      </c>
      <c r="Z50">
        <f t="shared" si="5"/>
        <v>157</v>
      </c>
      <c r="AA50" s="24">
        <f>IF(AND(Table9[[#This Row],[Distance from Tip (in)2]] &lt;&gt; ROUND($J$16,0),AA49 &lt;&gt;0 ), ($G$68)-($F$68*(Z50-$D$68)),0)</f>
        <v>-107.46087779209236</v>
      </c>
      <c r="AC50" s="24"/>
      <c r="AF50"/>
      <c r="AK50">
        <f t="shared" si="6"/>
        <v>43</v>
      </c>
      <c r="AL50">
        <f>IF(Table97[[#This Row],[Distance from Tip (in)]]&lt;&gt;0,($E$56*Table97[[#This Row],[Distance from Tip (in)]])-($G$56*(Table97[[#This Row],[Distance from Tip (in)]]^2)/2), 0)</f>
        <v>2468.245595278428</v>
      </c>
      <c r="AM50">
        <f t="shared" si="7"/>
        <v>157</v>
      </c>
      <c r="AN50" s="24">
        <f>IF(AND(Table97[[#This Row],[Distance from Tip (in)2]] &lt;&gt; ROUND($J$16,0),AN49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151.04559609066928</v>
      </c>
    </row>
    <row r="51" spans="4:40" ht="30" x14ac:dyDescent="0.25">
      <c r="D51" s="23" t="s">
        <v>143</v>
      </c>
      <c r="E51" s="23" t="s">
        <v>150</v>
      </c>
      <c r="F51" s="23" t="s">
        <v>135</v>
      </c>
      <c r="G51" s="23" t="s">
        <v>136</v>
      </c>
      <c r="H51" s="23" t="s">
        <v>159</v>
      </c>
      <c r="X51">
        <f t="shared" si="4"/>
        <v>44</v>
      </c>
      <c r="Y51">
        <f>IF(Table9[[#This Row],[Distance from Tip (in)]]&lt;&gt;0, ($E$64)-($F$64)*(X50), 0)</f>
        <v>60.214050596988976</v>
      </c>
      <c r="Z51">
        <f t="shared" si="5"/>
        <v>158</v>
      </c>
      <c r="AA51" s="24">
        <f>IF(AND(Table9[[#This Row],[Distance from Tip (in)2]] &lt;&gt; ROUND($J$16,0),AA50 &lt;&gt;0 ), ($G$68)-($F$68*(Z51-$D$68)),0)</f>
        <v>-111.68385663368349</v>
      </c>
      <c r="AC51" s="24"/>
      <c r="AF51"/>
      <c r="AK51">
        <f t="shared" si="6"/>
        <v>44</v>
      </c>
      <c r="AL51">
        <f>IF(Table97[[#This Row],[Distance from Tip (in)]]&lt;&gt;0,($E$56*Table97[[#This Row],[Distance from Tip (in)]])-($G$56*(Table97[[#This Row],[Distance from Tip (in)]]^2)/2), 0)</f>
        <v>2528.5250642531305</v>
      </c>
      <c r="AM51">
        <f t="shared" si="7"/>
        <v>158</v>
      </c>
      <c r="AN51" s="24">
        <f>IF(AND(Table97[[#This Row],[Distance from Tip (in)2]] &lt;&gt; ROUND($J$16,0),AN50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74.889660451357486</v>
      </c>
    </row>
    <row r="52" spans="4:40" x14ac:dyDescent="0.25">
      <c r="D52" s="26">
        <f>H31</f>
        <v>54.588070113635581</v>
      </c>
      <c r="E52" s="26">
        <f>H38</f>
        <v>255.37071171882184</v>
      </c>
      <c r="F52" s="26">
        <f>H16</f>
        <v>115.062</v>
      </c>
      <c r="G52" s="26">
        <f>I16</f>
        <v>76.962999999999994</v>
      </c>
      <c r="H52" s="27">
        <f>((E52*((2*G52)+F52)-(D52*F52)))/((G52^2)+(G52*F52))</f>
        <v>4.2229788415911358</v>
      </c>
      <c r="X52">
        <f t="shared" si="4"/>
        <v>45</v>
      </c>
      <c r="Y52">
        <f>IF(Table9[[#This Row],[Distance from Tip (in)]]&lt;&gt;0, ($E$64)-($F$64)*(X51), 0)</f>
        <v>60.344887352415796</v>
      </c>
      <c r="Z52">
        <f t="shared" si="5"/>
        <v>159</v>
      </c>
      <c r="AA52" s="24">
        <f>IF(AND(Table9[[#This Row],[Distance from Tip (in)2]] &lt;&gt; ROUND($J$16,0),AA51 &lt;&gt;0 ), ($G$68)-($F$68*(Z52-$D$68)),0)</f>
        <v>-115.90683547527462</v>
      </c>
      <c r="AC52" s="24"/>
      <c r="AF52"/>
      <c r="AK52">
        <f t="shared" si="6"/>
        <v>45</v>
      </c>
      <c r="AL52">
        <f>IF(Table97[[#This Row],[Distance from Tip (in)]]&lt;&gt;0,($E$56*Table97[[#This Row],[Distance from Tip (in)]])-($G$56*(Table97[[#This Row],[Distance from Tip (in)]]^2)/2), 0)</f>
        <v>2588.9353699832595</v>
      </c>
      <c r="AM52">
        <f t="shared" si="7"/>
        <v>159</v>
      </c>
      <c r="AN52" s="24">
        <f>IF(AND(Table97[[#This Row],[Distance from Tip (in)2]] &lt;&gt; ROUND($J$16,0),AN51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2.9567036535299849</v>
      </c>
    </row>
    <row r="53" spans="4:40" x14ac:dyDescent="0.25">
      <c r="X53">
        <f t="shared" si="4"/>
        <v>46</v>
      </c>
      <c r="Y53">
        <f>IF(Table9[[#This Row],[Distance from Tip (in)]]&lt;&gt;0, ($E$64)-($F$64)*(X52), 0)</f>
        <v>60.475724107842623</v>
      </c>
      <c r="Z53">
        <f t="shared" si="5"/>
        <v>160</v>
      </c>
      <c r="AA53" s="24">
        <f>IF(AND(Table9[[#This Row],[Distance from Tip (in)2]] &lt;&gt; ROUND($J$16,0),AA52 &lt;&gt;0 ), ($G$68)-($F$68*(Z53-$D$68)),0)</f>
        <v>-120.12981431686578</v>
      </c>
      <c r="AC53" s="24"/>
      <c r="AF53"/>
      <c r="AK53">
        <f t="shared" si="6"/>
        <v>46</v>
      </c>
      <c r="AL53">
        <f>IF(Table97[[#This Row],[Distance from Tip (in)]]&lt;&gt;0,($E$56*Table97[[#This Row],[Distance from Tip (in)]])-($G$56*(Table97[[#This Row],[Distance from Tip (in)]]^2)/2), 0)</f>
        <v>2649.4765124688156</v>
      </c>
      <c r="AM53">
        <f t="shared" si="7"/>
        <v>160</v>
      </c>
      <c r="AN53" s="24">
        <f>IF(AND(Table97[[#This Row],[Distance from Tip (in)2]] &lt;&gt; ROUND($J$16,0),AN52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-64.753274302638602</v>
      </c>
    </row>
    <row r="54" spans="4:40" x14ac:dyDescent="0.25">
      <c r="X54">
        <f t="shared" si="4"/>
        <v>47</v>
      </c>
      <c r="Y54">
        <f>IF(Table9[[#This Row],[Distance from Tip (in)]]&lt;&gt;0, ($E$64)-($F$64)*(X53), 0)</f>
        <v>60.606560863269443</v>
      </c>
      <c r="Z54">
        <f t="shared" si="5"/>
        <v>161</v>
      </c>
      <c r="AA54" s="24">
        <f>IF(AND(Table9[[#This Row],[Distance from Tip (in)2]] &lt;&gt; ROUND($J$16,0),AA53 &lt;&gt;0 ), ($G$68)-($F$68*(Z54-$D$68)),0)</f>
        <v>-124.3527931584569</v>
      </c>
      <c r="AC54" s="24"/>
      <c r="AF54"/>
      <c r="AK54">
        <f t="shared" si="6"/>
        <v>47</v>
      </c>
      <c r="AL54">
        <f>IF(Table97[[#This Row],[Distance from Tip (in)]]&lt;&gt;0,($E$56*Table97[[#This Row],[Distance from Tip (in)]])-($G$56*(Table97[[#This Row],[Distance from Tip (in)]]^2)/2), 0)</f>
        <v>2710.1484917097982</v>
      </c>
      <c r="AM54">
        <f t="shared" si="7"/>
        <v>161</v>
      </c>
      <c r="AN54" s="24">
        <f>IF(AND(Table97[[#This Row],[Distance from Tip (in)2]] &lt;&gt; ROUND($J$16,0),AN53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-128.24027341723558</v>
      </c>
    </row>
    <row r="55" spans="4:40" ht="30" x14ac:dyDescent="0.25">
      <c r="E55" s="23" t="s">
        <v>143</v>
      </c>
      <c r="F55" s="23" t="s">
        <v>135</v>
      </c>
      <c r="G55" s="23" t="s">
        <v>158</v>
      </c>
      <c r="H55" s="23" t="s">
        <v>160</v>
      </c>
      <c r="X55">
        <f t="shared" si="4"/>
        <v>48</v>
      </c>
      <c r="Y55">
        <f>IF(Table9[[#This Row],[Distance from Tip (in)]]&lt;&gt;0, ($E$64)-($F$64)*(X54), 0)</f>
        <v>60.737397618696271</v>
      </c>
      <c r="Z55">
        <f t="shared" si="5"/>
        <v>162</v>
      </c>
      <c r="AA55" s="24">
        <f>IF(AND(Table9[[#This Row],[Distance from Tip (in)2]] &lt;&gt; ROUND($J$16,0),AA54 &lt;&gt;0 ), ($G$68)-($F$68*(Z55-$D$68)),0)</f>
        <v>-128.57577200004803</v>
      </c>
      <c r="AC55" s="24"/>
      <c r="AF55"/>
      <c r="AK55">
        <f t="shared" si="6"/>
        <v>48</v>
      </c>
      <c r="AL55">
        <f>IF(Table97[[#This Row],[Distance from Tip (in)]]&lt;&gt;0,($E$56*Table97[[#This Row],[Distance from Tip (in)]])-($G$56*(Table97[[#This Row],[Distance from Tip (in)]]^2)/2), 0)</f>
        <v>2770.9513077062084</v>
      </c>
      <c r="AM55">
        <f t="shared" si="7"/>
        <v>162</v>
      </c>
      <c r="AN55" s="24">
        <f>IF(AND(Table97[[#This Row],[Distance from Tip (in)2]] &lt;&gt; ROUND($J$16,0),AN54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-187.50429369026097</v>
      </c>
    </row>
    <row r="56" spans="4:40" x14ac:dyDescent="0.25">
      <c r="E56" s="26">
        <f>H31</f>
        <v>54.588070113635581</v>
      </c>
      <c r="F56" s="26">
        <f>H16</f>
        <v>115.062</v>
      </c>
      <c r="G56" s="29">
        <f>H49</f>
        <v>-0.13083675542682316</v>
      </c>
      <c r="H56" s="27">
        <f>($E$56*F56)-($G$56*(F56^2)/2)</f>
        <v>7147.1036862094425</v>
      </c>
      <c r="X56">
        <f t="shared" si="4"/>
        <v>49</v>
      </c>
      <c r="Y56">
        <f>IF(Table9[[#This Row],[Distance from Tip (in)]]&lt;&gt;0, ($E$64)-($F$64)*(X55), 0)</f>
        <v>60.868234374123091</v>
      </c>
      <c r="Z56">
        <f t="shared" si="5"/>
        <v>163</v>
      </c>
      <c r="AA56" s="24">
        <f>IF(AND(Table9[[#This Row],[Distance from Tip (in)2]] &lt;&gt; ROUND($J$16,0),AA55 &lt;&gt;0 ), ($G$68)-($F$68*(Z56-$D$68)),0)</f>
        <v>-132.79875084163916</v>
      </c>
      <c r="AC56" s="24"/>
      <c r="AF56"/>
      <c r="AK56">
        <f t="shared" si="6"/>
        <v>49</v>
      </c>
      <c r="AL56">
        <f>IF(Table97[[#This Row],[Distance from Tip (in)]]&lt;&gt;0,($E$56*Table97[[#This Row],[Distance from Tip (in)]])-($G$56*(Table97[[#This Row],[Distance from Tip (in)]]^2)/2), 0)</f>
        <v>2831.8849604580446</v>
      </c>
      <c r="AM56">
        <f t="shared" si="7"/>
        <v>163</v>
      </c>
      <c r="AN56" s="24">
        <f>IF(AND(Table97[[#This Row],[Distance from Tip (in)2]] &lt;&gt; ROUND($J$16,0),AN55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-242.54533512168564</v>
      </c>
    </row>
    <row r="57" spans="4:40" x14ac:dyDescent="0.25">
      <c r="X57">
        <f t="shared" si="4"/>
        <v>50</v>
      </c>
      <c r="Y57">
        <f>IF(Table9[[#This Row],[Distance from Tip (in)]]&lt;&gt;0, ($E$64)-($F$64)*(X56), 0)</f>
        <v>60.999071129549918</v>
      </c>
      <c r="Z57">
        <f t="shared" si="5"/>
        <v>164</v>
      </c>
      <c r="AA57" s="24">
        <f>IF(AND(Table9[[#This Row],[Distance from Tip (in)2]] &lt;&gt; ROUND($J$16,0),AA56 &lt;&gt;0 ), ($G$68)-($F$68*(Z57-$D$68)),0)</f>
        <v>-137.02172968323032</v>
      </c>
      <c r="AC57" s="24"/>
      <c r="AF57"/>
      <c r="AK57">
        <f t="shared" si="6"/>
        <v>50</v>
      </c>
      <c r="AL57">
        <f>IF(Table97[[#This Row],[Distance from Tip (in)]]&lt;&gt;0,($E$56*Table97[[#This Row],[Distance from Tip (in)]])-($G$56*(Table97[[#This Row],[Distance from Tip (in)]]^2)/2), 0)</f>
        <v>2892.9494499653083</v>
      </c>
      <c r="AM57">
        <f t="shared" si="7"/>
        <v>164</v>
      </c>
      <c r="AN57" s="24">
        <f>IF(AND(Table97[[#This Row],[Distance from Tip (in)2]] &lt;&gt; ROUND($J$16,0),AN56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-293.36339771150961</v>
      </c>
    </row>
    <row r="58" spans="4:40" x14ac:dyDescent="0.25">
      <c r="X58">
        <f t="shared" si="4"/>
        <v>51</v>
      </c>
      <c r="Y58">
        <f>IF(Table9[[#This Row],[Distance from Tip (in)]]&lt;&gt;0, ($E$64)-($F$64)*(X57), 0)</f>
        <v>61.129907884976738</v>
      </c>
      <c r="Z58">
        <f t="shared" si="5"/>
        <v>165</v>
      </c>
      <c r="AA58" s="24">
        <f>IF(AND(Table9[[#This Row],[Distance from Tip (in)2]] &lt;&gt; ROUND($J$16,0),AA57 &lt;&gt;0 ), ($G$68)-($F$68*(Z58-$D$68)),0)</f>
        <v>-141.24470852482145</v>
      </c>
      <c r="AC58" s="24"/>
      <c r="AF58"/>
      <c r="AK58">
        <f t="shared" si="6"/>
        <v>51</v>
      </c>
      <c r="AL58">
        <f>IF(Table97[[#This Row],[Distance from Tip (in)]]&lt;&gt;0,($E$56*Table97[[#This Row],[Distance from Tip (in)]])-($G$56*(Table97[[#This Row],[Distance from Tip (in)]]^2)/2), 0)</f>
        <v>2954.1447762279981</v>
      </c>
      <c r="AM58">
        <f t="shared" si="7"/>
        <v>165</v>
      </c>
      <c r="AN58" s="24">
        <f>IF(AND(Table97[[#This Row],[Distance from Tip (in)2]] &lt;&gt; ROUND($J$16,0),AN57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-339.95848145976197</v>
      </c>
    </row>
    <row r="59" spans="4:40" ht="45" x14ac:dyDescent="0.25">
      <c r="D59" s="23" t="s">
        <v>161</v>
      </c>
      <c r="E59" s="23" t="s">
        <v>135</v>
      </c>
      <c r="F59" s="23" t="s">
        <v>159</v>
      </c>
      <c r="G59" s="23" t="s">
        <v>137</v>
      </c>
      <c r="H59" s="23" t="s">
        <v>162</v>
      </c>
      <c r="X59">
        <f t="shared" si="4"/>
        <v>52</v>
      </c>
      <c r="Y59">
        <f>IF(Table9[[#This Row],[Distance from Tip (in)]]&lt;&gt;0, ($E$64)-($F$64)*(X58), 0)</f>
        <v>61.260744640403558</v>
      </c>
      <c r="Z59">
        <f t="shared" si="5"/>
        <v>166</v>
      </c>
      <c r="AA59" s="24">
        <f>IF(AND(Table9[[#This Row],[Distance from Tip (in)2]] &lt;&gt; ROUND($J$16,0),AA58 &lt;&gt;0 ), ($G$68)-($F$68*(Z59-$D$68)),0)</f>
        <v>-145.46768736641258</v>
      </c>
      <c r="AC59" s="24"/>
      <c r="AF59"/>
      <c r="AK59">
        <f t="shared" si="6"/>
        <v>52</v>
      </c>
      <c r="AL59">
        <f>IF(Table97[[#This Row],[Distance from Tip (in)]]&lt;&gt;0,($E$56*Table97[[#This Row],[Distance from Tip (in)]])-($G$56*(Table97[[#This Row],[Distance from Tip (in)]]^2)/2), 0)</f>
        <v>3015.470939246115</v>
      </c>
      <c r="AM59">
        <f t="shared" si="7"/>
        <v>166</v>
      </c>
      <c r="AN59" s="24">
        <f>IF(AND(Table97[[#This Row],[Distance from Tip (in)2]] &lt;&gt; ROUND($J$16,0),AN58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-382.33058636644273</v>
      </c>
    </row>
    <row r="60" spans="4:40" x14ac:dyDescent="0.25">
      <c r="D60" s="26">
        <f>H64</f>
        <v>69.642408866556707</v>
      </c>
      <c r="E60" s="26">
        <f>H16</f>
        <v>115.062</v>
      </c>
      <c r="F60" s="29">
        <f>H52</f>
        <v>4.2229788415911358</v>
      </c>
      <c r="G60" s="26">
        <f>J16</f>
        <v>192.02499999999998</v>
      </c>
      <c r="H60" s="27">
        <f>($D$60*E60)+($F$60*((E60^2)+(0.5*$G$60^2)-(0.5*E60^2)))-($G$60*($D$60+($F$60*E60)))</f>
        <v>7147.1036862094479</v>
      </c>
      <c r="J60" s="24">
        <f>D60*E60</f>
        <v>8013.1948490037475</v>
      </c>
      <c r="K60" s="24">
        <f>F60*((E60^2)+(0.5*G60^2)-(0.5*E60^2))</f>
        <v>105812.78317205558</v>
      </c>
      <c r="L60" s="24">
        <f>G60*(D60+(F60*E60))</f>
        <v>106678.87433484988</v>
      </c>
      <c r="X60">
        <f t="shared" si="4"/>
        <v>53</v>
      </c>
      <c r="Y60">
        <f>IF(Table9[[#This Row],[Distance from Tip (in)]]&lt;&gt;0, ($E$64)-($F$64)*(X59), 0)</f>
        <v>61.391581395830386</v>
      </c>
      <c r="Z60">
        <f t="shared" si="5"/>
        <v>167</v>
      </c>
      <c r="AA60" s="24">
        <f>IF(AND(Table9[[#This Row],[Distance from Tip (in)2]] &lt;&gt; ROUND($J$16,0),AA59 &lt;&gt;0 ), ($G$68)-($F$68*(Z60-$D$68)),0)</f>
        <v>-149.69066620800371</v>
      </c>
      <c r="AC60" s="24"/>
      <c r="AF60"/>
      <c r="AK60">
        <f t="shared" si="6"/>
        <v>53</v>
      </c>
      <c r="AL60">
        <f>IF(Table97[[#This Row],[Distance from Tip (in)]]&lt;&gt;0,($E$56*Table97[[#This Row],[Distance from Tip (in)]])-($G$56*(Table97[[#This Row],[Distance from Tip (in)]]^2)/2), 0)</f>
        <v>3076.9279390196589</v>
      </c>
      <c r="AM60">
        <f t="shared" si="7"/>
        <v>167</v>
      </c>
      <c r="AN60" s="24">
        <f>IF(AND(Table97[[#This Row],[Distance from Tip (in)2]] &lt;&gt; ROUND($J$16,0),AN59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-420.47971243146458</v>
      </c>
    </row>
    <row r="61" spans="4:40" x14ac:dyDescent="0.25">
      <c r="J61" s="24" t="s">
        <v>163</v>
      </c>
      <c r="K61" s="24" t="s">
        <v>164</v>
      </c>
      <c r="L61" s="24" t="s">
        <v>165</v>
      </c>
      <c r="X61">
        <f t="shared" si="4"/>
        <v>54</v>
      </c>
      <c r="Y61">
        <f>IF(Table9[[#This Row],[Distance from Tip (in)]]&lt;&gt;0, ($E$64)-($F$64)*(X60), 0)</f>
        <v>61.522418151257206</v>
      </c>
      <c r="Z61">
        <f t="shared" si="5"/>
        <v>168</v>
      </c>
      <c r="AA61" s="24">
        <f>IF(AND(Table9[[#This Row],[Distance from Tip (in)2]] &lt;&gt; ROUND($J$16,0),AA60 &lt;&gt;0 ), ($G$68)-($F$68*(Z61-$D$68)),0)</f>
        <v>-153.91364504959486</v>
      </c>
      <c r="AC61" s="24"/>
      <c r="AF61"/>
      <c r="AK61">
        <f t="shared" si="6"/>
        <v>54</v>
      </c>
      <c r="AL61">
        <f>IF(Table97[[#This Row],[Distance from Tip (in)]]&lt;&gt;0,($E$56*Table97[[#This Row],[Distance from Tip (in)]])-($G$56*(Table97[[#This Row],[Distance from Tip (in)]]^2)/2), 0)</f>
        <v>3138.5157755486293</v>
      </c>
      <c r="AM61">
        <f t="shared" si="7"/>
        <v>168</v>
      </c>
      <c r="AN61" s="24">
        <f>IF(AND(Table97[[#This Row],[Distance from Tip (in)2]] &lt;&gt; ROUND($J$16,0),AN60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-454.40585965494392</v>
      </c>
    </row>
    <row r="62" spans="4:40" x14ac:dyDescent="0.25">
      <c r="X62">
        <f t="shared" si="4"/>
        <v>55</v>
      </c>
      <c r="Y62">
        <f>IF(Table9[[#This Row],[Distance from Tip (in)]]&lt;&gt;0, ($E$64)-($F$64)*(X61), 0)</f>
        <v>61.653254906684033</v>
      </c>
      <c r="Z62">
        <f t="shared" si="5"/>
        <v>169</v>
      </c>
      <c r="AA62" s="24">
        <f>IF(AND(Table9[[#This Row],[Distance from Tip (in)2]] &lt;&gt; ROUND($J$16,0),AA61 &lt;&gt;0 ), ($G$68)-($F$68*(Z62-$D$68)),0)</f>
        <v>-158.13662389118599</v>
      </c>
      <c r="AC62" s="24"/>
      <c r="AF62"/>
      <c r="AK62">
        <f t="shared" si="6"/>
        <v>55</v>
      </c>
      <c r="AL62">
        <f>IF(Table97[[#This Row],[Distance from Tip (in)]]&lt;&gt;0,($E$56*Table97[[#This Row],[Distance from Tip (in)]])-($G$56*(Table97[[#This Row],[Distance from Tip (in)]]^2)/2), 0)</f>
        <v>3200.2344488330268</v>
      </c>
      <c r="AM62">
        <f t="shared" si="7"/>
        <v>169</v>
      </c>
      <c r="AN62" s="24">
        <f>IF(AND(Table97[[#This Row],[Distance from Tip (in)2]] &lt;&gt; ROUND($J$16,0),AN61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-484.10902803682256</v>
      </c>
    </row>
    <row r="63" spans="4:40" ht="30" x14ac:dyDescent="0.25">
      <c r="E63" s="23" t="s">
        <v>143</v>
      </c>
      <c r="F63" s="23" t="s">
        <v>158</v>
      </c>
      <c r="G63" s="23" t="s">
        <v>135</v>
      </c>
      <c r="H63" s="23" t="s">
        <v>161</v>
      </c>
      <c r="X63">
        <f t="shared" si="4"/>
        <v>56</v>
      </c>
      <c r="Y63">
        <f>IF(Table9[[#This Row],[Distance from Tip (in)]]&lt;&gt;0, ($E$64)-($F$64)*(X62), 0)</f>
        <v>61.784091662110853</v>
      </c>
      <c r="Z63">
        <f t="shared" si="5"/>
        <v>170</v>
      </c>
      <c r="AA63" s="24">
        <f>IF(AND(Table9[[#This Row],[Distance from Tip (in)2]] &lt;&gt; ROUND($J$16,0),AA62 &lt;&gt;0 ), ($G$68)-($F$68*(Z63-$D$68)),0)</f>
        <v>-162.35960273277712</v>
      </c>
      <c r="AC63" s="24"/>
      <c r="AF63"/>
      <c r="AK63">
        <f t="shared" si="6"/>
        <v>56</v>
      </c>
      <c r="AL63">
        <f>IF(Table97[[#This Row],[Distance from Tip (in)]]&lt;&gt;0,($E$56*Table97[[#This Row],[Distance from Tip (in)]])-($G$56*(Table97[[#This Row],[Distance from Tip (in)]]^2)/2), 0)</f>
        <v>3262.0839588728513</v>
      </c>
      <c r="AM63">
        <f t="shared" si="7"/>
        <v>170</v>
      </c>
      <c r="AN63" s="24">
        <f>IF(AND(Table97[[#This Row],[Distance from Tip (in)2]] &lt;&gt; ROUND($J$16,0),AN62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-509.5892175771005</v>
      </c>
    </row>
    <row r="64" spans="4:40" x14ac:dyDescent="0.25">
      <c r="E64" s="29">
        <f>H31</f>
        <v>54.588070113635581</v>
      </c>
      <c r="F64" s="29">
        <f>H49</f>
        <v>-0.13083675542682316</v>
      </c>
      <c r="G64" s="26">
        <f>H16</f>
        <v>115.062</v>
      </c>
      <c r="H64" s="27">
        <f>(E64)-(F64)*(G64)</f>
        <v>69.642408866556707</v>
      </c>
      <c r="X64">
        <f t="shared" si="4"/>
        <v>57</v>
      </c>
      <c r="Y64">
        <f>IF(Table9[[#This Row],[Distance from Tip (in)]]&lt;&gt;0, ($E$64)-($F$64)*(X63), 0)</f>
        <v>61.914928417537681</v>
      </c>
      <c r="Z64">
        <f t="shared" si="5"/>
        <v>171</v>
      </c>
      <c r="AA64" s="24">
        <f>IF(AND(Table9[[#This Row],[Distance from Tip (in)2]] &lt;&gt; ROUND($J$16,0),AA63 &lt;&gt;0 ), ($G$68)-($F$68*(Z64-$D$68)),0)</f>
        <v>-166.58258157436825</v>
      </c>
      <c r="AC64" s="24"/>
      <c r="AF64"/>
      <c r="AK64">
        <f t="shared" si="6"/>
        <v>57</v>
      </c>
      <c r="AL64">
        <f>IF(Table97[[#This Row],[Distance from Tip (in)]]&lt;&gt;0,($E$56*Table97[[#This Row],[Distance from Tip (in)]])-($G$56*(Table97[[#This Row],[Distance from Tip (in)]]^2)/2), 0)</f>
        <v>3324.0643056681024</v>
      </c>
      <c r="AM64">
        <f t="shared" si="7"/>
        <v>171</v>
      </c>
      <c r="AN64" s="24">
        <f>IF(AND(Table97[[#This Row],[Distance from Tip (in)2]] &lt;&gt; ROUND($J$16,0),AN63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-530.84642827577773</v>
      </c>
    </row>
    <row r="65" spans="4:40" x14ac:dyDescent="0.25">
      <c r="X65">
        <f t="shared" si="4"/>
        <v>58</v>
      </c>
      <c r="Y65">
        <f>IF(Table9[[#This Row],[Distance from Tip (in)]]&lt;&gt;0, ($E$64)-($F$64)*(X64), 0)</f>
        <v>62.045765172964501</v>
      </c>
      <c r="Z65">
        <f t="shared" si="5"/>
        <v>172</v>
      </c>
      <c r="AA65" s="24">
        <f>IF(AND(Table9[[#This Row],[Distance from Tip (in)2]] &lt;&gt; ROUND($J$16,0),AA64 &lt;&gt;0 ), ($G$68)-($F$68*(Z65-$D$68)),0)</f>
        <v>-170.80556041595941</v>
      </c>
      <c r="AC65" s="24"/>
      <c r="AF65"/>
      <c r="AK65">
        <f t="shared" si="6"/>
        <v>58</v>
      </c>
      <c r="AL65">
        <f>IF(Table97[[#This Row],[Distance from Tip (in)]]&lt;&gt;0,($E$56*Table97[[#This Row],[Distance from Tip (in)]])-($G$56*(Table97[[#This Row],[Distance from Tip (in)]]^2)/2), 0)</f>
        <v>3386.1754892187805</v>
      </c>
      <c r="AM65">
        <f t="shared" si="7"/>
        <v>172</v>
      </c>
      <c r="AN65" s="24">
        <f>IF(AND(Table97[[#This Row],[Distance from Tip (in)2]] &lt;&gt; ROUND($J$16,0),AN64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-547.88066013288335</v>
      </c>
    </row>
    <row r="66" spans="4:40" x14ac:dyDescent="0.25">
      <c r="X66">
        <f t="shared" si="4"/>
        <v>59</v>
      </c>
      <c r="Y66">
        <f>IF(Table9[[#This Row],[Distance from Tip (in)]]&lt;&gt;0, ($E$64)-($F$64)*(X65), 0)</f>
        <v>62.176601928391321</v>
      </c>
      <c r="Z66">
        <f t="shared" si="5"/>
        <v>173</v>
      </c>
      <c r="AA66" s="24">
        <f>IF(AND(Table9[[#This Row],[Distance from Tip (in)2]] &lt;&gt; ROUND($J$16,0),AA65 &lt;&gt;0 ), ($G$68)-($F$68*(Z66-$D$68)),0)</f>
        <v>-175.02853925755053</v>
      </c>
      <c r="AC66" s="24"/>
      <c r="AF66"/>
      <c r="AK66">
        <f t="shared" si="6"/>
        <v>59</v>
      </c>
      <c r="AL66">
        <f>IF(Table97[[#This Row],[Distance from Tip (in)]]&lt;&gt;0,($E$56*Table97[[#This Row],[Distance from Tip (in)]])-($G$56*(Table97[[#This Row],[Distance from Tip (in)]]^2)/2), 0)</f>
        <v>3448.4175095248847</v>
      </c>
      <c r="AM66">
        <f t="shared" si="7"/>
        <v>173</v>
      </c>
      <c r="AN66" s="24">
        <f>IF(AND(Table97[[#This Row],[Distance from Tip (in)2]] &lt;&gt; ROUND($J$16,0),AN65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-560.69191314841737</v>
      </c>
    </row>
    <row r="67" spans="4:40" ht="30" x14ac:dyDescent="0.25">
      <c r="D67" s="23" t="s">
        <v>135</v>
      </c>
      <c r="E67" s="23" t="s">
        <v>136</v>
      </c>
      <c r="F67" s="23" t="s">
        <v>159</v>
      </c>
      <c r="G67" s="23" t="s">
        <v>161</v>
      </c>
      <c r="H67" s="23" t="s">
        <v>166</v>
      </c>
      <c r="X67">
        <f t="shared" si="4"/>
        <v>60</v>
      </c>
      <c r="Y67">
        <f>IF(Table9[[#This Row],[Distance from Tip (in)]]&lt;&gt;0, ($E$64)-($F$64)*(X66), 0)</f>
        <v>62.307438683818148</v>
      </c>
      <c r="Z67">
        <f t="shared" si="5"/>
        <v>174</v>
      </c>
      <c r="AA67" s="24">
        <f>IF(AND(Table9[[#This Row],[Distance from Tip (in)2]] &lt;&gt; ROUND($J$16,0),AA66 &lt;&gt;0 ), ($G$68)-($F$68*(Z67-$D$68)),0)</f>
        <v>-179.25151809914166</v>
      </c>
      <c r="AC67" s="24"/>
      <c r="AF67"/>
      <c r="AK67">
        <f t="shared" si="6"/>
        <v>60</v>
      </c>
      <c r="AL67">
        <f>IF(Table97[[#This Row],[Distance from Tip (in)]]&lt;&gt;0,($E$56*Table97[[#This Row],[Distance from Tip (in)]])-($G$56*(Table97[[#This Row],[Distance from Tip (in)]]^2)/2), 0)</f>
        <v>3510.7903665864164</v>
      </c>
      <c r="AM67">
        <f t="shared" si="7"/>
        <v>174</v>
      </c>
      <c r="AN67" s="24">
        <f>IF(AND(Table97[[#This Row],[Distance from Tip (in)2]] &lt;&gt; ROUND($J$16,0),AN66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-569.28018732229248</v>
      </c>
    </row>
    <row r="68" spans="4:40" x14ac:dyDescent="0.25">
      <c r="D68" s="26">
        <f>H16</f>
        <v>115.062</v>
      </c>
      <c r="E68" s="26">
        <f>I16</f>
        <v>76.962999999999994</v>
      </c>
      <c r="F68" s="26">
        <f>H52</f>
        <v>4.2229788415911358</v>
      </c>
      <c r="G68" s="26">
        <f>H64</f>
        <v>69.642408866556707</v>
      </c>
      <c r="H68" s="27">
        <f>(G68)-(F68*(E68-D68))</f>
        <v>230.53367975233741</v>
      </c>
      <c r="X68">
        <f t="shared" si="4"/>
        <v>61</v>
      </c>
      <c r="Y68">
        <f>IF(Table9[[#This Row],[Distance from Tip (in)]]&lt;&gt;0, ($E$64)-($F$64)*(X67), 0)</f>
        <v>62.438275439244968</v>
      </c>
      <c r="Z68">
        <f t="shared" si="5"/>
        <v>175</v>
      </c>
      <c r="AA68" s="24">
        <f>IF(AND(Table9[[#This Row],[Distance from Tip (in)2]] &lt;&gt; ROUND($J$16,0),AA67 &lt;&gt;0 ), ($G$68)-($F$68*(Z68-$D$68)),0)</f>
        <v>-183.47449694073279</v>
      </c>
      <c r="AC68" s="24"/>
      <c r="AF68"/>
      <c r="AK68">
        <f t="shared" si="6"/>
        <v>61</v>
      </c>
      <c r="AL68">
        <f>IF(Table97[[#This Row],[Distance from Tip (in)]]&lt;&gt;0,($E$56*Table97[[#This Row],[Distance from Tip (in)]])-($G$56*(Table97[[#This Row],[Distance from Tip (in)]]^2)/2), 0)</f>
        <v>3573.2940604033752</v>
      </c>
      <c r="AM68">
        <f t="shared" si="7"/>
        <v>175</v>
      </c>
      <c r="AN68" s="24">
        <f>IF(AND(Table97[[#This Row],[Distance from Tip (in)2]] &lt;&gt; ROUND($J$16,0),AN67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-573.64548265465419</v>
      </c>
    </row>
    <row r="69" spans="4:40" x14ac:dyDescent="0.25">
      <c r="X69">
        <f t="shared" si="4"/>
        <v>62</v>
      </c>
      <c r="Y69">
        <f>IF(Table9[[#This Row],[Distance from Tip (in)]]&lt;&gt;0, ($E$64)-($F$64)*(X68), 0)</f>
        <v>62.569112194671796</v>
      </c>
      <c r="Z69">
        <f t="shared" si="5"/>
        <v>176</v>
      </c>
      <c r="AA69" s="24">
        <f>IF(AND(Table9[[#This Row],[Distance from Tip (in)2]] &lt;&gt; ROUND($J$16,0),AA68 &lt;&gt;0 ), ($G$68)-($F$68*(Z69-$D$68)),0)</f>
        <v>-187.69747578232392</v>
      </c>
      <c r="AC69" s="24"/>
      <c r="AF69"/>
      <c r="AK69">
        <f t="shared" si="6"/>
        <v>62</v>
      </c>
      <c r="AL69">
        <f>IF(Table97[[#This Row],[Distance from Tip (in)]]&lt;&gt;0,($E$56*Table97[[#This Row],[Distance from Tip (in)]])-($G$56*(Table97[[#This Row],[Distance from Tip (in)]]^2)/2), 0)</f>
        <v>3635.92859097576</v>
      </c>
      <c r="AM69">
        <f t="shared" si="7"/>
        <v>176</v>
      </c>
      <c r="AN69" s="24">
        <f>IF(AND(Table97[[#This Row],[Distance from Tip (in)2]] &lt;&gt; ROUND($J$16,0),AN68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-573.78779914538609</v>
      </c>
    </row>
    <row r="70" spans="4:40" x14ac:dyDescent="0.25">
      <c r="X70">
        <f t="shared" si="4"/>
        <v>63</v>
      </c>
      <c r="Y70">
        <f>IF(Table9[[#This Row],[Distance from Tip (in)]]&lt;&gt;0, ($E$64)-($F$64)*(X69), 0)</f>
        <v>62.699948950098616</v>
      </c>
      <c r="Z70">
        <f t="shared" si="5"/>
        <v>177</v>
      </c>
      <c r="AA70" s="24">
        <f>IF(AND(Table9[[#This Row],[Distance from Tip (in)2]] &lt;&gt; ROUND($J$16,0),AA69 &lt;&gt;0 ), ($G$68)-($F$68*(Z70-$D$68)),0)</f>
        <v>-191.92045462391508</v>
      </c>
      <c r="AC70" s="24"/>
      <c r="AF70"/>
      <c r="AK70">
        <f t="shared" si="6"/>
        <v>63</v>
      </c>
      <c r="AL70">
        <f>IF(Table97[[#This Row],[Distance from Tip (in)]]&lt;&gt;0,($E$56*Table97[[#This Row],[Distance from Tip (in)]])-($G$56*(Table97[[#This Row],[Distance from Tip (in)]]^2)/2), 0)</f>
        <v>3698.6939583035719</v>
      </c>
      <c r="AM70">
        <f t="shared" si="7"/>
        <v>177</v>
      </c>
      <c r="AN70" s="24">
        <f>IF(AND(Table97[[#This Row],[Distance from Tip (in)2]] &lt;&gt; ROUND($J$16,0),AN69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-569.70713679454639</v>
      </c>
    </row>
    <row r="71" spans="4:40" ht="45" x14ac:dyDescent="0.25">
      <c r="F71" s="23" t="s">
        <v>143</v>
      </c>
      <c r="G71" s="23" t="s">
        <v>158</v>
      </c>
      <c r="H71" s="23" t="s">
        <v>56</v>
      </c>
      <c r="X71">
        <f t="shared" si="4"/>
        <v>64</v>
      </c>
      <c r="Y71">
        <f>IF(Table9[[#This Row],[Distance from Tip (in)]]&lt;&gt;0, ($E$64)-($F$64)*(X70), 0)</f>
        <v>62.830785705525443</v>
      </c>
      <c r="Z71">
        <f t="shared" si="5"/>
        <v>178</v>
      </c>
      <c r="AA71" s="24">
        <f>IF(AND(Table9[[#This Row],[Distance from Tip (in)2]] &lt;&gt; ROUND($J$16,0),AA70 &lt;&gt;0 ), ($G$68)-($F$68*(Z71-$D$68)),0)</f>
        <v>-196.14343346550623</v>
      </c>
      <c r="AC71" s="24"/>
      <c r="AF71"/>
      <c r="AK71">
        <f t="shared" si="6"/>
        <v>64</v>
      </c>
      <c r="AL71">
        <f>IF(Table97[[#This Row],[Distance from Tip (in)]]&lt;&gt;0,($E$56*Table97[[#This Row],[Distance from Tip (in)]])-($G$56*(Table97[[#This Row],[Distance from Tip (in)]]^2)/2), 0)</f>
        <v>3761.5901623868112</v>
      </c>
      <c r="AM71">
        <f t="shared" si="7"/>
        <v>178</v>
      </c>
      <c r="AN71" s="24">
        <f>IF(AND(Table97[[#This Row],[Distance from Tip (in)2]] &lt;&gt; ROUND($J$16,0),AN70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-561.40349560207687</v>
      </c>
    </row>
    <row r="72" spans="4:40" x14ac:dyDescent="0.25">
      <c r="F72" s="29">
        <f>H31</f>
        <v>54.588070113635581</v>
      </c>
      <c r="G72" s="29">
        <f>H49</f>
        <v>-0.13083675542682316</v>
      </c>
      <c r="H72" s="27">
        <f>(F72^2)/(2*(G72))</f>
        <v>-11387.692200903839</v>
      </c>
      <c r="X72">
        <f t="shared" si="4"/>
        <v>65</v>
      </c>
      <c r="Y72">
        <f>IF(Table9[[#This Row],[Distance from Tip (in)]]&lt;&gt;0, ($E$64)-($F$64)*(X71), 0)</f>
        <v>62.961622460952263</v>
      </c>
      <c r="Z72">
        <f t="shared" si="5"/>
        <v>179</v>
      </c>
      <c r="AA72" s="24">
        <f>IF(AND(Table9[[#This Row],[Distance from Tip (in)2]] &lt;&gt; ROUND($J$16,0),AA71 &lt;&gt;0 ), ($G$68)-($F$68*(Z72-$D$68)),0)</f>
        <v>-200.36641230709733</v>
      </c>
      <c r="AC72" s="24"/>
      <c r="AF72"/>
      <c r="AK72">
        <f t="shared" si="6"/>
        <v>65</v>
      </c>
      <c r="AL72">
        <f>IF(Table97[[#This Row],[Distance from Tip (in)]]&lt;&gt;0,($E$56*Table97[[#This Row],[Distance from Tip (in)]])-($G$56*(Table97[[#This Row],[Distance from Tip (in)]]^2)/2), 0)</f>
        <v>3824.6172032254767</v>
      </c>
      <c r="AM72">
        <f t="shared" si="7"/>
        <v>179</v>
      </c>
      <c r="AN72" s="24">
        <f>IF(AND(Table97[[#This Row],[Distance from Tip (in)2]] &lt;&gt; ROUND($J$16,0),AN71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-548.87687556803576</v>
      </c>
    </row>
    <row r="73" spans="4:40" x14ac:dyDescent="0.25">
      <c r="X73">
        <f t="shared" ref="X73:X104" si="8">IF(AND(X72 &lt;&gt; $Z$8, X72 &lt;&gt; 0),X72+1,0)</f>
        <v>66</v>
      </c>
      <c r="Y73">
        <f>IF(Table9[[#This Row],[Distance from Tip (in)]]&lt;&gt;0, ($E$64)-($F$64)*(X72), 0)</f>
        <v>63.092459216379083</v>
      </c>
      <c r="Z73">
        <f t="shared" ref="Z73:Z104" si="9">IF(AND(Z72 &lt;&gt;ROUND( $J$16,0), Z72 &lt;&gt; 0),Z72+1,0)</f>
        <v>180</v>
      </c>
      <c r="AA73" s="24">
        <f>IF(AND(Table9[[#This Row],[Distance from Tip (in)2]] &lt;&gt; ROUND($J$16,0),AA72 &lt;&gt;0 ), ($G$68)-($F$68*(Z73-$D$68)),0)</f>
        <v>-204.58939114868849</v>
      </c>
      <c r="AC73" s="24"/>
      <c r="AF73"/>
      <c r="AK73">
        <f t="shared" ref="AK73:AK104" si="10">IF(AND(AK72 &lt;&gt; $Z$8, AK72 &lt;&gt; 0),AK72+1,0)</f>
        <v>66</v>
      </c>
      <c r="AL73">
        <f>IF(Table97[[#This Row],[Distance from Tip (in)]]&lt;&gt;0,($E$56*Table97[[#This Row],[Distance from Tip (in)]])-($G$56*(Table97[[#This Row],[Distance from Tip (in)]]^2)/2), 0)</f>
        <v>3887.7750808195697</v>
      </c>
      <c r="AM73">
        <f t="shared" ref="AM73:AM104" si="11">IF(AND(AM72 &lt;&gt;ROUND( $J$16,0), AM72 &lt;&gt; 0),AM72+1,0)</f>
        <v>180</v>
      </c>
      <c r="AN73" s="24">
        <f>IF(AND(Table97[[#This Row],[Distance from Tip (in)2]] &lt;&gt; ROUND($J$16,0),AN72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-532.12727669239393</v>
      </c>
    </row>
    <row r="74" spans="4:40" ht="45" x14ac:dyDescent="0.25">
      <c r="D74" s="23" t="s">
        <v>135</v>
      </c>
      <c r="E74" s="23" t="s">
        <v>137</v>
      </c>
      <c r="F74" s="23" t="s">
        <v>159</v>
      </c>
      <c r="G74" s="23" t="s">
        <v>161</v>
      </c>
      <c r="H74" s="23" t="s">
        <v>62</v>
      </c>
      <c r="X74">
        <f t="shared" si="8"/>
        <v>67</v>
      </c>
      <c r="Y74">
        <f>IF(Table9[[#This Row],[Distance from Tip (in)]]&lt;&gt;0, ($E$64)-($F$64)*(X73), 0)</f>
        <v>63.223295971805911</v>
      </c>
      <c r="Z74">
        <f t="shared" si="9"/>
        <v>181</v>
      </c>
      <c r="AA74" s="24">
        <f>IF(AND(Table9[[#This Row],[Distance from Tip (in)2]] &lt;&gt; ROUND($J$16,0),AA73 &lt;&gt;0 ), ($G$68)-($F$68*(Z74-$D$68)),0)</f>
        <v>-208.81236999027959</v>
      </c>
      <c r="AC74" s="24"/>
      <c r="AF74"/>
      <c r="AK74">
        <f t="shared" si="10"/>
        <v>67</v>
      </c>
      <c r="AL74">
        <f>IF(Table97[[#This Row],[Distance from Tip (in)]]&lt;&gt;0,($E$56*Table97[[#This Row],[Distance from Tip (in)]])-($G$56*(Table97[[#This Row],[Distance from Tip (in)]]^2)/2), 0)</f>
        <v>3951.0637951690883</v>
      </c>
      <c r="AM74">
        <f t="shared" si="11"/>
        <v>181</v>
      </c>
      <c r="AN74" s="24">
        <f>IF(AND(Table97[[#This Row],[Distance from Tip (in)2]] &lt;&gt; ROUND($J$16,0),AN73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-511.15469897518051</v>
      </c>
    </row>
    <row r="75" spans="4:40" x14ac:dyDescent="0.25">
      <c r="D75" s="26">
        <f>H16</f>
        <v>115.062</v>
      </c>
      <c r="E75" s="26">
        <f>J16</f>
        <v>192.02499999999998</v>
      </c>
      <c r="F75" s="26">
        <f>H52</f>
        <v>4.2229788415911358</v>
      </c>
      <c r="G75" s="26">
        <f>H64</f>
        <v>69.642408866556707</v>
      </c>
      <c r="H75" s="27">
        <f>((G75^2)/2)*(F75)-((G75)*(E75-D75))+F75*(0.5*(E75^2)+0.5*(D75^2)-(E75*D75))</f>
        <v>17387.964861922559</v>
      </c>
      <c r="X75">
        <f t="shared" si="8"/>
        <v>68</v>
      </c>
      <c r="Y75">
        <f>IF(Table9[[#This Row],[Distance from Tip (in)]]&lt;&gt;0, ($E$64)-($F$64)*(X74), 0)</f>
        <v>63.354132727232731</v>
      </c>
      <c r="Z75">
        <f t="shared" si="9"/>
        <v>182</v>
      </c>
      <c r="AA75" s="24">
        <f>IF(AND(Table9[[#This Row],[Distance from Tip (in)2]] &lt;&gt; ROUND($J$16,0),AA74 &lt;&gt;0 ), ($G$68)-($F$68*(Z75-$D$68)),0)</f>
        <v>-213.03534883187075</v>
      </c>
      <c r="AC75" s="24"/>
      <c r="AF75"/>
      <c r="AK75">
        <f t="shared" si="10"/>
        <v>68</v>
      </c>
      <c r="AL75">
        <f>IF(Table97[[#This Row],[Distance from Tip (in)]]&lt;&gt;0,($E$56*Table97[[#This Row],[Distance from Tip (in)]])-($G$56*(Table97[[#This Row],[Distance from Tip (in)]]^2)/2), 0)</f>
        <v>4014.4833462740348</v>
      </c>
      <c r="AM75">
        <f t="shared" si="11"/>
        <v>182</v>
      </c>
      <c r="AN75" s="24">
        <f>IF(AND(Table97[[#This Row],[Distance from Tip (in)2]] &lt;&gt; ROUND($J$16,0),AN74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-485.95914241639548</v>
      </c>
    </row>
    <row r="76" spans="4:40" x14ac:dyDescent="0.25">
      <c r="X76">
        <f t="shared" si="8"/>
        <v>69</v>
      </c>
      <c r="Y76">
        <f>IF(Table9[[#This Row],[Distance from Tip (in)]]&lt;&gt;0, ($E$64)-($F$64)*(X75), 0)</f>
        <v>63.484969482659558</v>
      </c>
      <c r="Z76">
        <f t="shared" si="9"/>
        <v>183</v>
      </c>
      <c r="AA76" s="24">
        <f>IF(AND(Table9[[#This Row],[Distance from Tip (in)2]] &lt;&gt; ROUND($J$16,0),AA75 &lt;&gt;0 ), ($G$68)-($F$68*(Z76-$D$68)),0)</f>
        <v>-217.25832767346191</v>
      </c>
      <c r="AC76" s="24"/>
      <c r="AF76"/>
      <c r="AK76">
        <f t="shared" si="10"/>
        <v>69</v>
      </c>
      <c r="AL76">
        <f>IF(Table97[[#This Row],[Distance from Tip (in)]]&lt;&gt;0,($E$56*Table97[[#This Row],[Distance from Tip (in)]])-($G$56*(Table97[[#This Row],[Distance from Tip (in)]]^2)/2), 0)</f>
        <v>4078.0337341344075</v>
      </c>
      <c r="AM76">
        <f t="shared" si="11"/>
        <v>183</v>
      </c>
      <c r="AN76" s="24">
        <f>IF(AND(Table97[[#This Row],[Distance from Tip (in)2]] &lt;&gt; ROUND($J$16,0),AN75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-456.54060701600974</v>
      </c>
    </row>
    <row r="77" spans="4:40" ht="45" x14ac:dyDescent="0.25">
      <c r="F77" s="23" t="s">
        <v>143</v>
      </c>
      <c r="G77" s="23" t="s">
        <v>158</v>
      </c>
      <c r="H77" s="23" t="s">
        <v>57</v>
      </c>
      <c r="X77">
        <f t="shared" si="8"/>
        <v>70</v>
      </c>
      <c r="Y77">
        <f>IF(Table9[[#This Row],[Distance from Tip (in)]]&lt;&gt;0, ($E$64)-($F$64)*(X76), 0)</f>
        <v>63.615806238086378</v>
      </c>
      <c r="Z77">
        <f t="shared" si="9"/>
        <v>184</v>
      </c>
      <c r="AA77" s="24">
        <f>IF(AND(Table9[[#This Row],[Distance from Tip (in)2]] &lt;&gt; ROUND($J$16,0),AA76 &lt;&gt;0 ), ($G$68)-($F$68*(Z77-$D$68)),0)</f>
        <v>-221.48130651505301</v>
      </c>
      <c r="AC77" s="24"/>
      <c r="AF77"/>
      <c r="AK77">
        <f t="shared" si="10"/>
        <v>70</v>
      </c>
      <c r="AL77">
        <f>IF(Table97[[#This Row],[Distance from Tip (in)]]&lt;&gt;0,($E$56*Table97[[#This Row],[Distance from Tip (in)]])-($G$56*(Table97[[#This Row],[Distance from Tip (in)]]^2)/2), 0)</f>
        <v>4141.7149587502072</v>
      </c>
      <c r="AM77">
        <f t="shared" si="11"/>
        <v>184</v>
      </c>
      <c r="AN77" s="24">
        <f>IF(AND(Table97[[#This Row],[Distance from Tip (in)2]] &lt;&gt; ROUND($J$16,0),AN76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-422.8990927739942</v>
      </c>
    </row>
    <row r="78" spans="4:40" x14ac:dyDescent="0.25">
      <c r="F78" s="29">
        <f>H31</f>
        <v>54.588070113635581</v>
      </c>
      <c r="G78" s="29">
        <f>H49</f>
        <v>-0.13083675542682316</v>
      </c>
      <c r="H78" s="27">
        <f>F78/G78</f>
        <v>-417.22274398776744</v>
      </c>
      <c r="X78">
        <f t="shared" si="8"/>
        <v>71</v>
      </c>
      <c r="Y78">
        <f>IF(Table9[[#This Row],[Distance from Tip (in)]]&lt;&gt;0, ($E$64)-($F$64)*(X77), 0)</f>
        <v>63.746642993513206</v>
      </c>
      <c r="Z78">
        <f t="shared" si="9"/>
        <v>185</v>
      </c>
      <c r="AA78" s="24">
        <f>IF(AND(Table9[[#This Row],[Distance from Tip (in)2]] &lt;&gt; ROUND($J$16,0),AA77 &lt;&gt;0 ), ($G$68)-($F$68*(Z78-$D$68)),0)</f>
        <v>-225.70428535664416</v>
      </c>
      <c r="AC78" s="24"/>
      <c r="AF78"/>
      <c r="AK78">
        <f t="shared" si="10"/>
        <v>71</v>
      </c>
      <c r="AL78">
        <f>IF(Table97[[#This Row],[Distance from Tip (in)]]&lt;&gt;0,($E$56*Table97[[#This Row],[Distance from Tip (in)]])-($G$56*(Table97[[#This Row],[Distance from Tip (in)]]^2)/2), 0)</f>
        <v>4205.5270201214335</v>
      </c>
      <c r="AM78">
        <f t="shared" si="11"/>
        <v>185</v>
      </c>
      <c r="AN78" s="24">
        <f>IF(AND(Table97[[#This Row],[Distance from Tip (in)2]] &lt;&gt; ROUND($J$16,0),AN77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-385.03459969040705</v>
      </c>
    </row>
    <row r="79" spans="4:40" x14ac:dyDescent="0.25">
      <c r="F79" s="24" t="s">
        <v>167</v>
      </c>
      <c r="X79">
        <f t="shared" si="8"/>
        <v>72</v>
      </c>
      <c r="Y79">
        <f>IF(Table9[[#This Row],[Distance from Tip (in)]]&lt;&gt;0, ($E$64)-($F$64)*(X78), 0)</f>
        <v>63.877479748940026</v>
      </c>
      <c r="Z79">
        <f t="shared" si="9"/>
        <v>186</v>
      </c>
      <c r="AA79" s="24">
        <f>IF(AND(Table9[[#This Row],[Distance from Tip (in)2]] &lt;&gt; ROUND($J$16,0),AA78 &lt;&gt;0 ), ($G$68)-($F$68*(Z79-$D$68)),0)</f>
        <v>-229.92726419823532</v>
      </c>
      <c r="AC79" s="24"/>
      <c r="AF79"/>
      <c r="AK79">
        <f t="shared" si="10"/>
        <v>72</v>
      </c>
      <c r="AL79">
        <f>IF(Table97[[#This Row],[Distance from Tip (in)]]&lt;&gt;0,($E$56*Table97[[#This Row],[Distance from Tip (in)]])-($G$56*(Table97[[#This Row],[Distance from Tip (in)]]^2)/2), 0)</f>
        <v>4269.4699182480872</v>
      </c>
      <c r="AM79">
        <f t="shared" si="11"/>
        <v>186</v>
      </c>
      <c r="AN79" s="24">
        <f>IF(AND(Table97[[#This Row],[Distance from Tip (in)2]] &lt;&gt; ROUND($J$16,0),AN78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-342.94712776521919</v>
      </c>
    </row>
    <row r="80" spans="4:40" ht="30" x14ac:dyDescent="0.25">
      <c r="E80" s="23" t="s">
        <v>135</v>
      </c>
      <c r="F80" s="23" t="s">
        <v>159</v>
      </c>
      <c r="G80" s="23" t="s">
        <v>161</v>
      </c>
      <c r="H80" s="23" t="s">
        <v>63</v>
      </c>
      <c r="X80">
        <f t="shared" si="8"/>
        <v>73</v>
      </c>
      <c r="Y80">
        <f>IF(Table9[[#This Row],[Distance from Tip (in)]]&lt;&gt;0, ($E$64)-($F$64)*(X79), 0)</f>
        <v>64.008316504366846</v>
      </c>
      <c r="Z80">
        <f t="shared" si="9"/>
        <v>187</v>
      </c>
      <c r="AA80" s="24">
        <f>IF(AND(Table9[[#This Row],[Distance from Tip (in)2]] &lt;&gt; ROUND($J$16,0),AA79 &lt;&gt;0 ), ($G$68)-($F$68*(Z80-$D$68)),0)</f>
        <v>-234.15024303982642</v>
      </c>
      <c r="AC80" s="24"/>
      <c r="AF80"/>
      <c r="AK80">
        <f t="shared" si="10"/>
        <v>73</v>
      </c>
      <c r="AL80">
        <f>IF(Table97[[#This Row],[Distance from Tip (in)]]&lt;&gt;0,($E$56*Table97[[#This Row],[Distance from Tip (in)]])-($G$56*(Table97[[#This Row],[Distance from Tip (in)]]^2)/2), 0)</f>
        <v>4333.5436531301675</v>
      </c>
      <c r="AM80">
        <f t="shared" si="11"/>
        <v>187</v>
      </c>
      <c r="AN80" s="24">
        <f>IF(AND(Table97[[#This Row],[Distance from Tip (in)2]] &lt;&gt; ROUND($J$16,0),AN79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-296.63667699845973</v>
      </c>
    </row>
    <row r="81" spans="5:40" x14ac:dyDescent="0.25">
      <c r="E81" s="26">
        <f>H16</f>
        <v>115.062</v>
      </c>
      <c r="F81" s="26">
        <f>H52</f>
        <v>4.2229788415911358</v>
      </c>
      <c r="G81" s="26">
        <f>H64</f>
        <v>69.642408866556707</v>
      </c>
      <c r="H81" s="27">
        <f>ABS(G81)/F81+E81</f>
        <v>131.55329950182673</v>
      </c>
      <c r="X81">
        <f t="shared" si="8"/>
        <v>74</v>
      </c>
      <c r="Y81">
        <f>IF(Table9[[#This Row],[Distance from Tip (in)]]&lt;&gt;0, ($E$64)-($F$64)*(X80), 0)</f>
        <v>64.139153259793673</v>
      </c>
      <c r="Z81">
        <f t="shared" si="9"/>
        <v>188</v>
      </c>
      <c r="AA81" s="24">
        <f>IF(AND(Table9[[#This Row],[Distance from Tip (in)2]] &lt;&gt; ROUND($J$16,0),AA80 &lt;&gt;0 ), ($G$68)-($F$68*(Z81-$D$68)),0)</f>
        <v>-238.37322188141758</v>
      </c>
      <c r="AC81" s="24"/>
      <c r="AF81"/>
      <c r="AK81">
        <f t="shared" si="10"/>
        <v>74</v>
      </c>
      <c r="AL81">
        <f>IF(Table97[[#This Row],[Distance from Tip (in)]]&lt;&gt;0,($E$56*Table97[[#This Row],[Distance from Tip (in)]])-($G$56*(Table97[[#This Row],[Distance from Tip (in)]]^2)/2), 0)</f>
        <v>4397.7482247676753</v>
      </c>
      <c r="AM81">
        <f t="shared" si="11"/>
        <v>188</v>
      </c>
      <c r="AN81" s="24">
        <f>IF(AND(Table97[[#This Row],[Distance from Tip (in)2]] &lt;&gt; ROUND($J$16,0),AN80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-246.10324739012867</v>
      </c>
    </row>
    <row r="82" spans="5:40" x14ac:dyDescent="0.25">
      <c r="X82">
        <f t="shared" si="8"/>
        <v>75</v>
      </c>
      <c r="Y82">
        <f>IF(Table9[[#This Row],[Distance from Tip (in)]]&lt;&gt;0, ($E$64)-($F$64)*(X81), 0)</f>
        <v>64.2699900152205</v>
      </c>
      <c r="Z82">
        <f t="shared" si="9"/>
        <v>189</v>
      </c>
      <c r="AA82" s="24">
        <f>IF(AND(Table9[[#This Row],[Distance from Tip (in)2]] &lt;&gt; ROUND($J$16,0),AA81 &lt;&gt;0 ), ($G$68)-($F$68*(Z82-$D$68)),0)</f>
        <v>-242.59620072300868</v>
      </c>
      <c r="AC82" s="24"/>
      <c r="AF82"/>
      <c r="AK82">
        <f t="shared" si="10"/>
        <v>75</v>
      </c>
      <c r="AL82">
        <f>IF(Table97[[#This Row],[Distance from Tip (in)]]&lt;&gt;0,($E$56*Table97[[#This Row],[Distance from Tip (in)]])-($G$56*(Table97[[#This Row],[Distance from Tip (in)]]^2)/2), 0)</f>
        <v>4462.0836331606088</v>
      </c>
      <c r="AM82">
        <f t="shared" si="11"/>
        <v>189</v>
      </c>
      <c r="AN82" s="24">
        <f>IF(AND(Table97[[#This Row],[Distance from Tip (in)2]] &lt;&gt; ROUND($J$16,0),AN81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-191.3468389401678</v>
      </c>
    </row>
    <row r="83" spans="5:40" x14ac:dyDescent="0.25">
      <c r="X83">
        <f t="shared" si="8"/>
        <v>76</v>
      </c>
      <c r="Y83">
        <f>IF(Table9[[#This Row],[Distance from Tip (in)]]&lt;&gt;0, ($E$64)-($F$64)*(X82), 0)</f>
        <v>64.400826770647313</v>
      </c>
      <c r="Z83">
        <f t="shared" si="9"/>
        <v>190</v>
      </c>
      <c r="AA83" s="24">
        <f>IF(AND(Table9[[#This Row],[Distance from Tip (in)2]] &lt;&gt; ROUND($J$16,0),AA82 &lt;&gt;0 ), ($G$68)-($F$68*(Z83-$D$68)),0)</f>
        <v>-246.81917956459984</v>
      </c>
      <c r="AC83" s="24"/>
      <c r="AF83"/>
      <c r="AK83">
        <f t="shared" si="10"/>
        <v>76</v>
      </c>
      <c r="AL83">
        <f>IF(Table97[[#This Row],[Distance from Tip (in)]]&lt;&gt;0,($E$56*Table97[[#This Row],[Distance from Tip (in)]])-($G$56*(Table97[[#This Row],[Distance from Tip (in)]]^2)/2), 0)</f>
        <v>4526.5498783089688</v>
      </c>
      <c r="AM83">
        <f t="shared" si="11"/>
        <v>190</v>
      </c>
      <c r="AN83" s="24">
        <f>IF(AND(Table97[[#This Row],[Distance from Tip (in)2]] &lt;&gt; ROUND($J$16,0),AN82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-132.36745164860622</v>
      </c>
    </row>
    <row r="84" spans="5:40" ht="45" x14ac:dyDescent="0.25">
      <c r="F84" s="23" t="s">
        <v>168</v>
      </c>
      <c r="G84" s="23" t="s">
        <v>169</v>
      </c>
      <c r="H84" s="23" t="s">
        <v>93</v>
      </c>
      <c r="X84">
        <f t="shared" si="8"/>
        <v>77</v>
      </c>
      <c r="Y84">
        <f>IF(Table9[[#This Row],[Distance from Tip (in)]]&lt;&gt;0, ($E$64)-($F$64)*(X83), 0)</f>
        <v>64.531663526074141</v>
      </c>
      <c r="Z84">
        <f t="shared" si="9"/>
        <v>191</v>
      </c>
      <c r="AA84" s="24">
        <f>IF(AND(Table9[[#This Row],[Distance from Tip (in)2]] &lt;&gt; ROUND($J$16,0),AA83 &lt;&gt;0 ), ($G$68)-($F$68*(Z84-$D$68)),0)</f>
        <v>-251.04215840619099</v>
      </c>
      <c r="AC84" s="24"/>
      <c r="AF84"/>
      <c r="AK84">
        <f t="shared" si="10"/>
        <v>77</v>
      </c>
      <c r="AL84">
        <f>IF(Table97[[#This Row],[Distance from Tip (in)]]&lt;&gt;0,($E$56*Table97[[#This Row],[Distance from Tip (in)]])-($G$56*(Table97[[#This Row],[Distance from Tip (in)]]^2)/2), 0)</f>
        <v>4591.1469602127563</v>
      </c>
      <c r="AM84">
        <f t="shared" si="11"/>
        <v>191</v>
      </c>
      <c r="AN84" s="24">
        <f>IF(AND(Table97[[#This Row],[Distance from Tip (in)2]] &lt;&gt; ROUND($J$16,0),AN83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-69.165085515502142</v>
      </c>
    </row>
    <row r="85" spans="5:40" x14ac:dyDescent="0.25">
      <c r="E85" s="30" t="s">
        <v>95</v>
      </c>
      <c r="F85" s="26">
        <f>H72</f>
        <v>-11387.692200903839</v>
      </c>
      <c r="G85" s="24">
        <f>(PI()*(G5^4-H5^4))/(32*G5)</f>
        <v>3.289441624609732</v>
      </c>
      <c r="H85" s="27">
        <f>F85/$G$85</f>
        <v>-3461.8921690865709</v>
      </c>
      <c r="X85">
        <f t="shared" si="8"/>
        <v>78</v>
      </c>
      <c r="Y85">
        <f>IF(Table9[[#This Row],[Distance from Tip (in)]]&lt;&gt;0, ($E$64)-($F$64)*(X84), 0)</f>
        <v>64.662500281500968</v>
      </c>
      <c r="Z85">
        <f t="shared" si="9"/>
        <v>192</v>
      </c>
      <c r="AA85" s="24">
        <f>IF(AND(Table9[[#This Row],[Distance from Tip (in)2]] &lt;&gt; ROUND($J$16,0),AA84 &lt;&gt;0 ), ($G$68)-($F$68*(Z85-$D$68)),0)</f>
        <v>0</v>
      </c>
      <c r="AC85" s="24"/>
      <c r="AF85"/>
      <c r="AK85">
        <f t="shared" si="10"/>
        <v>78</v>
      </c>
      <c r="AL85">
        <f>IF(Table97[[#This Row],[Distance from Tip (in)]]&lt;&gt;0,($E$56*Table97[[#This Row],[Distance from Tip (in)]])-($G$56*(Table97[[#This Row],[Distance from Tip (in)]]^2)/2), 0)</f>
        <v>4655.8748788719713</v>
      </c>
      <c r="AM85">
        <f t="shared" si="11"/>
        <v>192</v>
      </c>
      <c r="AN85" s="24">
        <f>IF(AND(Table97[[#This Row],[Distance from Tip (in)2]] &lt;&gt; ROUND($J$16,0),AN84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86" spans="5:40" x14ac:dyDescent="0.25">
      <c r="E86" s="30" t="s">
        <v>96</v>
      </c>
      <c r="F86" s="26">
        <f>H75</f>
        <v>17387.964861922559</v>
      </c>
      <c r="H86" s="27">
        <f>F86/$G$85</f>
        <v>5285.9928359377745</v>
      </c>
      <c r="X86">
        <f t="shared" si="8"/>
        <v>79</v>
      </c>
      <c r="Y86">
        <f>IF(Table9[[#This Row],[Distance from Tip (in)]]&lt;&gt;0, ($E$64)-($F$64)*(X85), 0)</f>
        <v>64.793337036927795</v>
      </c>
      <c r="Z86">
        <f t="shared" si="9"/>
        <v>0</v>
      </c>
      <c r="AA86" s="24">
        <f>IF(AND(Table9[[#This Row],[Distance from Tip (in)2]] &lt;&gt; ROUND($J$16,0),AA85 &lt;&gt;0 ), ($G$68)-($F$68*(Z86-$D$68)),0)</f>
        <v>0</v>
      </c>
      <c r="AC86" s="24"/>
      <c r="AF86"/>
      <c r="AK86">
        <f t="shared" si="10"/>
        <v>79</v>
      </c>
      <c r="AL86">
        <f>IF(Table97[[#This Row],[Distance from Tip (in)]]&lt;&gt;0,($E$56*Table97[[#This Row],[Distance from Tip (in)]])-($G$56*(Table97[[#This Row],[Distance from Tip (in)]]^2)/2), 0)</f>
        <v>4720.7336342866129</v>
      </c>
      <c r="AM86">
        <f t="shared" si="11"/>
        <v>0</v>
      </c>
      <c r="AN86" s="24">
        <f>IF(AND(Table97[[#This Row],[Distance from Tip (in)2]] &lt;&gt; ROUND($J$16,0),AN85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87" spans="5:40" x14ac:dyDescent="0.25">
      <c r="G87" s="24" t="s">
        <v>170</v>
      </c>
      <c r="X87">
        <f t="shared" si="8"/>
        <v>80</v>
      </c>
      <c r="Y87">
        <f>IF(Table9[[#This Row],[Distance from Tip (in)]]&lt;&gt;0, ($E$64)-($F$64)*(X86), 0)</f>
        <v>64.924173792354608</v>
      </c>
      <c r="Z87">
        <f t="shared" si="9"/>
        <v>0</v>
      </c>
      <c r="AA87" s="24">
        <f>IF(AND(Table9[[#This Row],[Distance from Tip (in)2]] &lt;&gt; ROUND($J$16,0),AA86 &lt;&gt;0 ), ($G$68)-($F$68*(Z87-$D$68)),0)</f>
        <v>0</v>
      </c>
      <c r="AC87" s="24"/>
      <c r="AF87"/>
      <c r="AK87">
        <f t="shared" si="10"/>
        <v>80</v>
      </c>
      <c r="AL87">
        <f>IF(Table97[[#This Row],[Distance from Tip (in)]]&lt;&gt;0,($E$56*Table97[[#This Row],[Distance from Tip (in)]])-($G$56*(Table97[[#This Row],[Distance from Tip (in)]]^2)/2), 0)</f>
        <v>4785.723226456681</v>
      </c>
      <c r="AM87">
        <f t="shared" si="11"/>
        <v>0</v>
      </c>
      <c r="AN87" s="24">
        <f>IF(AND(Table97[[#This Row],[Distance from Tip (in)2]] &lt;&gt; ROUND($J$16,0),AN86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88" spans="5:40" x14ac:dyDescent="0.25">
      <c r="X88">
        <f t="shared" si="8"/>
        <v>81</v>
      </c>
      <c r="Y88">
        <f>IF(Table9[[#This Row],[Distance from Tip (in)]]&lt;&gt;0, ($E$64)-($F$64)*(X87), 0)</f>
        <v>65.055010547781436</v>
      </c>
      <c r="Z88">
        <f t="shared" si="9"/>
        <v>0</v>
      </c>
      <c r="AA88" s="24">
        <f>IF(AND(Table9[[#This Row],[Distance from Tip (in)2]] &lt;&gt; ROUND($J$16,0),AA87 &lt;&gt;0 ), ($G$68)-($F$68*(Z88-$D$68)),0)</f>
        <v>0</v>
      </c>
      <c r="AC88" s="24"/>
      <c r="AF88"/>
      <c r="AK88">
        <f t="shared" si="10"/>
        <v>81</v>
      </c>
      <c r="AL88">
        <f>IF(Table97[[#This Row],[Distance from Tip (in)]]&lt;&gt;0,($E$56*Table97[[#This Row],[Distance from Tip (in)]])-($G$56*(Table97[[#This Row],[Distance from Tip (in)]]^2)/2), 0)</f>
        <v>4850.8436553821757</v>
      </c>
      <c r="AM88">
        <f t="shared" si="11"/>
        <v>0</v>
      </c>
      <c r="AN88" s="24">
        <f>IF(AND(Table97[[#This Row],[Distance from Tip (in)2]] &lt;&gt; ROUND($J$16,0),AN87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89" spans="5:40" x14ac:dyDescent="0.25">
      <c r="X89">
        <f t="shared" si="8"/>
        <v>82</v>
      </c>
      <c r="Y89">
        <f>IF(Table9[[#This Row],[Distance from Tip (in)]]&lt;&gt;0, ($E$64)-($F$64)*(X88), 0)</f>
        <v>65.185847303208263</v>
      </c>
      <c r="Z89">
        <f t="shared" si="9"/>
        <v>0</v>
      </c>
      <c r="AA89" s="24">
        <f>IF(AND(Table9[[#This Row],[Distance from Tip (in)2]] &lt;&gt; ROUND($J$16,0),AA88 &lt;&gt;0 ), ($G$68)-($F$68*(Z89-$D$68)),0)</f>
        <v>0</v>
      </c>
      <c r="AC89" s="24"/>
      <c r="AF89"/>
      <c r="AK89">
        <f t="shared" si="10"/>
        <v>82</v>
      </c>
      <c r="AL89">
        <f>IF(Table97[[#This Row],[Distance from Tip (in)]]&lt;&gt;0,($E$56*Table97[[#This Row],[Distance from Tip (in)]])-($G$56*(Table97[[#This Row],[Distance from Tip (in)]]^2)/2), 0)</f>
        <v>4916.094921063097</v>
      </c>
      <c r="AM89">
        <f t="shared" si="11"/>
        <v>0</v>
      </c>
      <c r="AN89" s="24">
        <f>IF(AND(Table97[[#This Row],[Distance from Tip (in)2]] &lt;&gt; ROUND($J$16,0),AN88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0" spans="5:40" x14ac:dyDescent="0.25">
      <c r="X90">
        <f t="shared" si="8"/>
        <v>83</v>
      </c>
      <c r="Y90">
        <f>IF(Table9[[#This Row],[Distance from Tip (in)]]&lt;&gt;0, ($E$64)-($F$64)*(X89), 0)</f>
        <v>65.316684058635076</v>
      </c>
      <c r="Z90">
        <f t="shared" si="9"/>
        <v>0</v>
      </c>
      <c r="AA90" s="24">
        <f>IF(AND(Table9[[#This Row],[Distance from Tip (in)2]] &lt;&gt; ROUND($J$16,0),AA89 &lt;&gt;0 ), ($G$68)-($F$68*(Z90-$D$68)),0)</f>
        <v>0</v>
      </c>
      <c r="AC90" s="24"/>
      <c r="AF90"/>
      <c r="AK90">
        <f t="shared" si="10"/>
        <v>83</v>
      </c>
      <c r="AL90">
        <f>IF(Table97[[#This Row],[Distance from Tip (in)]]&lt;&gt;0,($E$56*Table97[[#This Row],[Distance from Tip (in)]])-($G$56*(Table97[[#This Row],[Distance from Tip (in)]]^2)/2), 0)</f>
        <v>4981.4770234994457</v>
      </c>
      <c r="AM90">
        <f t="shared" si="11"/>
        <v>0</v>
      </c>
      <c r="AN90" s="24">
        <f>IF(AND(Table97[[#This Row],[Distance from Tip (in)2]] &lt;&gt; ROUND($J$16,0),AN89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1" spans="5:40" x14ac:dyDescent="0.25">
      <c r="X91">
        <f t="shared" si="8"/>
        <v>84</v>
      </c>
      <c r="Y91">
        <f>IF(Table9[[#This Row],[Distance from Tip (in)]]&lt;&gt;0, ($E$64)-($F$64)*(X90), 0)</f>
        <v>65.447520814061903</v>
      </c>
      <c r="Z91">
        <f t="shared" si="9"/>
        <v>0</v>
      </c>
      <c r="AA91" s="24">
        <f>IF(AND(Table9[[#This Row],[Distance from Tip (in)2]] &lt;&gt; ROUND($J$16,0),AA90 &lt;&gt;0 ), ($G$68)-($F$68*(Z91-$D$68)),0)</f>
        <v>0</v>
      </c>
      <c r="AC91" s="24"/>
      <c r="AF91"/>
      <c r="AK91">
        <f t="shared" si="10"/>
        <v>84</v>
      </c>
      <c r="AL91">
        <f>IF(Table97[[#This Row],[Distance from Tip (in)]]&lt;&gt;0,($E$56*Table97[[#This Row],[Distance from Tip (in)]])-($G$56*(Table97[[#This Row],[Distance from Tip (in)]]^2)/2), 0)</f>
        <v>5046.9899626912211</v>
      </c>
      <c r="AM91">
        <f t="shared" si="11"/>
        <v>0</v>
      </c>
      <c r="AN91" s="24">
        <f>IF(AND(Table97[[#This Row],[Distance from Tip (in)2]] &lt;&gt; ROUND($J$16,0),AN90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2" spans="5:40" x14ac:dyDescent="0.25">
      <c r="X92">
        <f t="shared" si="8"/>
        <v>85</v>
      </c>
      <c r="Y92">
        <f>IF(Table9[[#This Row],[Distance from Tip (in)]]&lt;&gt;0, ($E$64)-($F$64)*(X91), 0)</f>
        <v>65.57835756948873</v>
      </c>
      <c r="Z92">
        <f t="shared" si="9"/>
        <v>0</v>
      </c>
      <c r="AA92" s="24">
        <f>IF(AND(Table9[[#This Row],[Distance from Tip (in)2]] &lt;&gt; ROUND($J$16,0),AA91 &lt;&gt;0 ), ($G$68)-($F$68*(Z92-$D$68)),0)</f>
        <v>0</v>
      </c>
      <c r="AC92" s="24"/>
      <c r="AF92"/>
      <c r="AK92">
        <f t="shared" si="10"/>
        <v>85</v>
      </c>
      <c r="AL92">
        <f>IF(Table97[[#This Row],[Distance from Tip (in)]]&lt;&gt;0,($E$56*Table97[[#This Row],[Distance from Tip (in)]])-($G$56*(Table97[[#This Row],[Distance from Tip (in)]]^2)/2), 0)</f>
        <v>5112.633738638423</v>
      </c>
      <c r="AM92">
        <f t="shared" si="11"/>
        <v>0</v>
      </c>
      <c r="AN92" s="24">
        <f>IF(AND(Table97[[#This Row],[Distance from Tip (in)2]] &lt;&gt; ROUND($J$16,0),AN91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3" spans="5:40" x14ac:dyDescent="0.25">
      <c r="X93">
        <f t="shared" si="8"/>
        <v>86</v>
      </c>
      <c r="Y93">
        <f>IF(Table9[[#This Row],[Distance from Tip (in)]]&lt;&gt;0, ($E$64)-($F$64)*(X92), 0)</f>
        <v>65.709194324915543</v>
      </c>
      <c r="Z93">
        <f t="shared" si="9"/>
        <v>0</v>
      </c>
      <c r="AA93" s="24">
        <f>IF(AND(Table9[[#This Row],[Distance from Tip (in)2]] &lt;&gt; ROUND($J$16,0),AA92 &lt;&gt;0 ), ($G$68)-($F$68*(Z93-$D$68)),0)</f>
        <v>0</v>
      </c>
      <c r="AC93" s="24"/>
      <c r="AF93"/>
      <c r="AK93">
        <f t="shared" si="10"/>
        <v>86</v>
      </c>
      <c r="AL93">
        <f>IF(Table97[[#This Row],[Distance from Tip (in)]]&lt;&gt;0,($E$56*Table97[[#This Row],[Distance from Tip (in)]])-($G$56*(Table97[[#This Row],[Distance from Tip (in)]]^2)/2), 0)</f>
        <v>5178.4083513410515</v>
      </c>
      <c r="AM93">
        <f t="shared" si="11"/>
        <v>0</v>
      </c>
      <c r="AN93" s="24">
        <f>IF(AND(Table97[[#This Row],[Distance from Tip (in)2]] &lt;&gt; ROUND($J$16,0),AN92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4" spans="5:40" x14ac:dyDescent="0.25">
      <c r="X94">
        <f t="shared" si="8"/>
        <v>87</v>
      </c>
      <c r="Y94">
        <f>IF(Table9[[#This Row],[Distance from Tip (in)]]&lt;&gt;0, ($E$64)-($F$64)*(X93), 0)</f>
        <v>65.840031080342371</v>
      </c>
      <c r="Z94">
        <f t="shared" si="9"/>
        <v>0</v>
      </c>
      <c r="AA94" s="24">
        <f>IF(AND(Table9[[#This Row],[Distance from Tip (in)2]] &lt;&gt; ROUND($J$16,0),AA93 &lt;&gt;0 ), ($G$68)-($F$68*(Z94-$D$68)),0)</f>
        <v>0</v>
      </c>
      <c r="AC94" s="24"/>
      <c r="AF94"/>
      <c r="AK94">
        <f t="shared" si="10"/>
        <v>87</v>
      </c>
      <c r="AL94">
        <f>IF(Table97[[#This Row],[Distance from Tip (in)]]&lt;&gt;0,($E$56*Table97[[#This Row],[Distance from Tip (in)]])-($G$56*(Table97[[#This Row],[Distance from Tip (in)]]^2)/2), 0)</f>
        <v>5244.3138007991074</v>
      </c>
      <c r="AM94">
        <f t="shared" si="11"/>
        <v>0</v>
      </c>
      <c r="AN94" s="24">
        <f>IF(AND(Table97[[#This Row],[Distance from Tip (in)2]] &lt;&gt; ROUND($J$16,0),AN93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5" spans="5:40" x14ac:dyDescent="0.25">
      <c r="V95" s="24">
        <f>($E$64)-($F$64)*(X96)</f>
        <v>66.232541346622838</v>
      </c>
      <c r="X95">
        <f t="shared" si="8"/>
        <v>88</v>
      </c>
      <c r="Y95">
        <f>IF(Table9[[#This Row],[Distance from Tip (in)]]&lt;&gt;0, ($E$64)-($F$64)*(X94), 0)</f>
        <v>65.970867835769198</v>
      </c>
      <c r="Z95">
        <f t="shared" si="9"/>
        <v>0</v>
      </c>
      <c r="AA95" s="24">
        <f>IF(AND(Table9[[#This Row],[Distance from Tip (in)2]] &lt;&gt; ROUND($J$16,0),AA94 &lt;&gt;0 ), ($G$68)-($F$68*(Z95-$D$68)),0)</f>
        <v>0</v>
      </c>
      <c r="AC95" s="24"/>
      <c r="AF95"/>
      <c r="AK95">
        <f t="shared" si="10"/>
        <v>88</v>
      </c>
      <c r="AL95">
        <f>IF(Table97[[#This Row],[Distance from Tip (in)]]&lt;&gt;0,($E$56*Table97[[#This Row],[Distance from Tip (in)]])-($G$56*(Table97[[#This Row],[Distance from Tip (in)]]^2)/2), 0)</f>
        <v>5310.3500870125899</v>
      </c>
      <c r="AM95">
        <f t="shared" si="11"/>
        <v>0</v>
      </c>
      <c r="AN95" s="24">
        <f>IF(AND(Table97[[#This Row],[Distance from Tip (in)2]] &lt;&gt; ROUND($J$16,0),AN94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6" spans="5:40" x14ac:dyDescent="0.25">
      <c r="X96">
        <f t="shared" si="8"/>
        <v>89</v>
      </c>
      <c r="Y96">
        <f>IF(Table9[[#This Row],[Distance from Tip (in)]]&lt;&gt;0, ($E$64)-($F$64)*(X95), 0)</f>
        <v>66.101704591196011</v>
      </c>
      <c r="Z96">
        <f t="shared" si="9"/>
        <v>0</v>
      </c>
      <c r="AA96" s="24">
        <f>IF(AND(Table9[[#This Row],[Distance from Tip (in)2]] &lt;&gt; ROUND($J$16,0),AA95 &lt;&gt;0 ), ($G$68)-($F$68*(Z96-$D$68)),0)</f>
        <v>0</v>
      </c>
      <c r="AC96" s="24"/>
      <c r="AF96"/>
      <c r="AK96">
        <f t="shared" si="10"/>
        <v>89</v>
      </c>
      <c r="AL96">
        <f>IF(Table97[[#This Row],[Distance from Tip (in)]]&lt;&gt;0,($E$56*Table97[[#This Row],[Distance from Tip (in)]])-($G$56*(Table97[[#This Row],[Distance from Tip (in)]]^2)/2), 0)</f>
        <v>5376.5172099814999</v>
      </c>
      <c r="AM96">
        <f t="shared" si="11"/>
        <v>0</v>
      </c>
      <c r="AN96" s="24">
        <f>IF(AND(Table97[[#This Row],[Distance from Tip (in)2]] &lt;&gt; ROUND($J$16,0),AN95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7" spans="5:40" x14ac:dyDescent="0.25">
      <c r="X97">
        <f t="shared" si="8"/>
        <v>90</v>
      </c>
      <c r="Y97">
        <f>IF(Table9[[#This Row],[Distance from Tip (in)]]&lt;&gt;0, ($E$64)-($F$64)*(X96), 0)</f>
        <v>66.232541346622838</v>
      </c>
      <c r="Z97">
        <f t="shared" si="9"/>
        <v>0</v>
      </c>
      <c r="AA97" s="24">
        <f>IF(AND(Table9[[#This Row],[Distance from Tip (in)2]] &lt;&gt; ROUND($J$16,0),AA96 &lt;&gt;0 ), ($G$68)-($F$68*(Z97-$D$68)),0)</f>
        <v>0</v>
      </c>
      <c r="AC97" s="24"/>
      <c r="AF97"/>
      <c r="AK97">
        <f t="shared" si="10"/>
        <v>90</v>
      </c>
      <c r="AL97">
        <f>IF(Table97[[#This Row],[Distance from Tip (in)]]&lt;&gt;0,($E$56*Table97[[#This Row],[Distance from Tip (in)]])-($G$56*(Table97[[#This Row],[Distance from Tip (in)]]^2)/2), 0)</f>
        <v>5442.8151697058365</v>
      </c>
      <c r="AM97">
        <f t="shared" si="11"/>
        <v>0</v>
      </c>
      <c r="AN97" s="24">
        <f>IF(AND(Table97[[#This Row],[Distance from Tip (in)2]] &lt;&gt; ROUND($J$16,0),AN96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8" spans="5:40" x14ac:dyDescent="0.25">
      <c r="X98">
        <f t="shared" si="8"/>
        <v>91</v>
      </c>
      <c r="Y98">
        <f>IF(Table9[[#This Row],[Distance from Tip (in)]]&lt;&gt;0, ($E$64)-($F$64)*(X97), 0)</f>
        <v>66.363378102049666</v>
      </c>
      <c r="Z98">
        <f t="shared" si="9"/>
        <v>0</v>
      </c>
      <c r="AA98" s="24">
        <f>IF(AND(Table9[[#This Row],[Distance from Tip (in)2]] &lt;&gt; ROUND($J$16,0),AA97 &lt;&gt;0 ), ($G$68)-($F$68*(Z98-$D$68)),0)</f>
        <v>0</v>
      </c>
      <c r="AC98" s="24"/>
      <c r="AF98"/>
      <c r="AK98">
        <f t="shared" si="10"/>
        <v>91</v>
      </c>
      <c r="AL98">
        <f>IF(Table97[[#This Row],[Distance from Tip (in)]]&lt;&gt;0,($E$56*Table97[[#This Row],[Distance from Tip (in)]])-($G$56*(Table97[[#This Row],[Distance from Tip (in)]]^2)/2), 0)</f>
        <v>5509.2439661855997</v>
      </c>
      <c r="AM98">
        <f t="shared" si="11"/>
        <v>0</v>
      </c>
      <c r="AN98" s="24">
        <f>IF(AND(Table97[[#This Row],[Distance from Tip (in)2]] &lt;&gt; ROUND($J$16,0),AN97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99" spans="5:40" x14ac:dyDescent="0.25">
      <c r="X99">
        <f t="shared" si="8"/>
        <v>92</v>
      </c>
      <c r="Y99">
        <f>IF(Table9[[#This Row],[Distance from Tip (in)]]&lt;&gt;0, ($E$64)-($F$64)*(X98), 0)</f>
        <v>66.494214857476493</v>
      </c>
      <c r="Z99">
        <f t="shared" si="9"/>
        <v>0</v>
      </c>
      <c r="AA99" s="24">
        <f>IF(AND(Table9[[#This Row],[Distance from Tip (in)2]] &lt;&gt; ROUND($J$16,0),AA98 &lt;&gt;0 ), ($G$68)-($F$68*(Z99-$D$68)),0)</f>
        <v>0</v>
      </c>
      <c r="AC99" s="24"/>
      <c r="AF99"/>
      <c r="AK99">
        <f t="shared" si="10"/>
        <v>92</v>
      </c>
      <c r="AL99">
        <f>IF(Table97[[#This Row],[Distance from Tip (in)]]&lt;&gt;0,($E$56*Table97[[#This Row],[Distance from Tip (in)]])-($G$56*(Table97[[#This Row],[Distance from Tip (in)]]^2)/2), 0)</f>
        <v>5575.8035994207885</v>
      </c>
      <c r="AM99">
        <f t="shared" si="11"/>
        <v>0</v>
      </c>
      <c r="AN99" s="24">
        <f>IF(AND(Table97[[#This Row],[Distance from Tip (in)2]] &lt;&gt; ROUND($J$16,0),AN98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0" spans="5:40" x14ac:dyDescent="0.25">
      <c r="X100">
        <f t="shared" si="8"/>
        <v>93</v>
      </c>
      <c r="Y100">
        <f>IF(Table9[[#This Row],[Distance from Tip (in)]]&lt;&gt;0, ($E$64)-($F$64)*(X99), 0)</f>
        <v>66.625051612903306</v>
      </c>
      <c r="Z100">
        <f t="shared" si="9"/>
        <v>0</v>
      </c>
      <c r="AA100" s="24">
        <f>IF(AND(Table9[[#This Row],[Distance from Tip (in)2]] &lt;&gt; ROUND($J$16,0),AA99 &lt;&gt;0 ), ($G$68)-($F$68*(Z100-$D$68)),0)</f>
        <v>0</v>
      </c>
      <c r="AC100" s="24"/>
      <c r="AF100"/>
      <c r="AK100">
        <f t="shared" si="10"/>
        <v>93</v>
      </c>
      <c r="AL100">
        <f>IF(Table97[[#This Row],[Distance from Tip (in)]]&lt;&gt;0,($E$56*Table97[[#This Row],[Distance from Tip (in)]])-($G$56*(Table97[[#This Row],[Distance from Tip (in)]]^2)/2), 0)</f>
        <v>5642.4940694114057</v>
      </c>
      <c r="AM100">
        <f t="shared" si="11"/>
        <v>0</v>
      </c>
      <c r="AN100" s="24">
        <f>IF(AND(Table97[[#This Row],[Distance from Tip (in)2]] &lt;&gt; ROUND($J$16,0),AN99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1" spans="5:40" x14ac:dyDescent="0.25">
      <c r="F101" s="24" t="s">
        <v>171</v>
      </c>
      <c r="G101" s="24" t="s">
        <v>172</v>
      </c>
      <c r="H101" s="24" t="s">
        <v>173</v>
      </c>
      <c r="X101">
        <f t="shared" si="8"/>
        <v>94</v>
      </c>
      <c r="Y101">
        <f>IF(Table9[[#This Row],[Distance from Tip (in)]]&lt;&gt;0, ($E$64)-($F$64)*(X100), 0)</f>
        <v>66.755888368330133</v>
      </c>
      <c r="Z101">
        <f t="shared" si="9"/>
        <v>0</v>
      </c>
      <c r="AA101" s="24">
        <f>IF(AND(Table9[[#This Row],[Distance from Tip (in)2]] &lt;&gt; ROUND($J$16,0),AA100 &lt;&gt;0 ), ($G$68)-($F$68*(Z101-$D$68)),0)</f>
        <v>0</v>
      </c>
      <c r="AC101" s="24"/>
      <c r="AF101"/>
      <c r="AK101">
        <f t="shared" si="10"/>
        <v>94</v>
      </c>
      <c r="AL101">
        <f>IF(Table97[[#This Row],[Distance from Tip (in)]]&lt;&gt;0,($E$56*Table97[[#This Row],[Distance from Tip (in)]])-($G$56*(Table97[[#This Row],[Distance from Tip (in)]]^2)/2), 0)</f>
        <v>5709.3153761574495</v>
      </c>
      <c r="AM101">
        <f t="shared" si="11"/>
        <v>0</v>
      </c>
      <c r="AN101" s="24">
        <f>IF(AND(Table97[[#This Row],[Distance from Tip (in)2]] &lt;&gt; ROUND($J$16,0),AN100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2" spans="5:40" x14ac:dyDescent="0.25">
      <c r="E102" s="24" t="s">
        <v>174</v>
      </c>
      <c r="F102" s="24">
        <f>(PI()/4)*((G5/2)^2-(H5/2)^2)</f>
        <v>0.56705433238030323</v>
      </c>
      <c r="G102" s="24">
        <v>3</v>
      </c>
      <c r="H102" s="24">
        <f>MAX(H72,H75)</f>
        <v>17387.964861922559</v>
      </c>
      <c r="X102">
        <f t="shared" si="8"/>
        <v>95</v>
      </c>
      <c r="Y102">
        <f>IF(Table9[[#This Row],[Distance from Tip (in)]]&lt;&gt;0, ($E$64)-($F$64)*(X101), 0)</f>
        <v>66.88672512375696</v>
      </c>
      <c r="Z102">
        <f t="shared" si="9"/>
        <v>0</v>
      </c>
      <c r="AA102" s="24">
        <f>IF(AND(Table9[[#This Row],[Distance from Tip (in)2]] &lt;&gt; ROUND($J$16,0),AA101 &lt;&gt;0 ), ($G$68)-($F$68*(Z102-$D$68)),0)</f>
        <v>0</v>
      </c>
      <c r="AC102" s="24"/>
      <c r="AF102"/>
      <c r="AK102">
        <f t="shared" si="10"/>
        <v>95</v>
      </c>
      <c r="AL102">
        <f>IF(Table97[[#This Row],[Distance from Tip (in)]]&lt;&gt;0,($E$56*Table97[[#This Row],[Distance from Tip (in)]])-($G$56*(Table97[[#This Row],[Distance from Tip (in)]]^2)/2), 0)</f>
        <v>5776.2675196589198</v>
      </c>
      <c r="AM102">
        <f t="shared" si="11"/>
        <v>0</v>
      </c>
      <c r="AN102" s="24">
        <f>IF(AND(Table97[[#This Row],[Distance from Tip (in)2]] &lt;&gt; ROUND($J$16,0),AN101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3" spans="5:40" x14ac:dyDescent="0.25">
      <c r="E103" s="24" t="s">
        <v>175</v>
      </c>
      <c r="F103" s="24">
        <f>(H102*G102)/F102</f>
        <v>91990.999110792793</v>
      </c>
      <c r="X103">
        <f t="shared" si="8"/>
        <v>96</v>
      </c>
      <c r="Y103">
        <f>IF(Table9[[#This Row],[Distance from Tip (in)]]&lt;&gt;0, ($E$64)-($F$64)*(X102), 0)</f>
        <v>67.017561879183773</v>
      </c>
      <c r="Z103">
        <f t="shared" si="9"/>
        <v>0</v>
      </c>
      <c r="AA103" s="24">
        <f>IF(AND(Table9[[#This Row],[Distance from Tip (in)2]] &lt;&gt; ROUND($J$16,0),AA102 &lt;&gt;0 ), ($G$68)-($F$68*(Z103-$D$68)),0)</f>
        <v>0</v>
      </c>
      <c r="AC103" s="24"/>
      <c r="AF103"/>
      <c r="AK103">
        <f t="shared" si="10"/>
        <v>96</v>
      </c>
      <c r="AL103">
        <f>IF(Table97[[#This Row],[Distance from Tip (in)]]&lt;&gt;0,($E$56*Table97[[#This Row],[Distance from Tip (in)]])-($G$56*(Table97[[#This Row],[Distance from Tip (in)]]^2)/2), 0)</f>
        <v>5843.3504999158167</v>
      </c>
      <c r="AM103">
        <f t="shared" si="11"/>
        <v>0</v>
      </c>
      <c r="AN103" s="24">
        <f>IF(AND(Table97[[#This Row],[Distance from Tip (in)2]] &lt;&gt; ROUND($J$16,0),AN102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4" spans="5:40" x14ac:dyDescent="0.25">
      <c r="X104">
        <f t="shared" si="8"/>
        <v>97</v>
      </c>
      <c r="Y104">
        <f>IF(Table9[[#This Row],[Distance from Tip (in)]]&lt;&gt;0, ($E$64)-($F$64)*(X103), 0)</f>
        <v>67.148398634610601</v>
      </c>
      <c r="Z104">
        <f t="shared" si="9"/>
        <v>0</v>
      </c>
      <c r="AA104" s="24">
        <f>IF(AND(Table9[[#This Row],[Distance from Tip (in)2]] &lt;&gt; ROUND($J$16,0),AA103 &lt;&gt;0 ), ($G$68)-($F$68*(Z104-$D$68)),0)</f>
        <v>0</v>
      </c>
      <c r="AC104" s="24"/>
      <c r="AF104"/>
      <c r="AK104">
        <f t="shared" si="10"/>
        <v>97</v>
      </c>
      <c r="AL104">
        <f>IF(Table97[[#This Row],[Distance from Tip (in)]]&lt;&gt;0,($E$56*Table97[[#This Row],[Distance from Tip (in)]])-($G$56*(Table97[[#This Row],[Distance from Tip (in)]]^2)/2), 0)</f>
        <v>5910.5643169281411</v>
      </c>
      <c r="AM104">
        <f t="shared" si="11"/>
        <v>0</v>
      </c>
      <c r="AN104" s="24">
        <f>IF(AND(Table97[[#This Row],[Distance from Tip (in)2]] &lt;&gt; ROUND($J$16,0),AN103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5" spans="5:40" x14ac:dyDescent="0.25">
      <c r="X105">
        <f t="shared" ref="X105:X136" si="12">IF(AND(X104 &lt;&gt; $Z$8, X104 &lt;&gt; 0),X104+1,0)</f>
        <v>98</v>
      </c>
      <c r="Y105">
        <f>IF(Table9[[#This Row],[Distance from Tip (in)]]&lt;&gt;0, ($E$64)-($F$64)*(X104), 0)</f>
        <v>67.279235390037428</v>
      </c>
      <c r="Z105">
        <f t="shared" ref="Z105:Z136" si="13">IF(AND(Z104 &lt;&gt;ROUND( $J$16,0), Z104 &lt;&gt; 0),Z104+1,0)</f>
        <v>0</v>
      </c>
      <c r="AA105" s="24">
        <f>IF(AND(Table9[[#This Row],[Distance from Tip (in)2]] &lt;&gt; ROUND($J$16,0),AA104 &lt;&gt;0 ), ($G$68)-($F$68*(Z105-$D$68)),0)</f>
        <v>0</v>
      </c>
      <c r="AC105" s="24"/>
      <c r="AF105"/>
      <c r="AK105">
        <f t="shared" ref="AK105:AK136" si="14">IF(AND(AK104 &lt;&gt; $Z$8, AK104 &lt;&gt; 0),AK104+1,0)</f>
        <v>98</v>
      </c>
      <c r="AL105">
        <f>IF(Table97[[#This Row],[Distance from Tip (in)]]&lt;&gt;0,($E$56*Table97[[#This Row],[Distance from Tip (in)]])-($G$56*(Table97[[#This Row],[Distance from Tip (in)]]^2)/2), 0)</f>
        <v>5977.9089706958921</v>
      </c>
      <c r="AM105">
        <f t="shared" ref="AM105:AM136" si="15">IF(AND(AM104 &lt;&gt;ROUND( $J$16,0), AM104 &lt;&gt; 0),AM104+1,0)</f>
        <v>0</v>
      </c>
      <c r="AN105" s="24">
        <f>IF(AND(Table97[[#This Row],[Distance from Tip (in)2]] &lt;&gt; ROUND($J$16,0),AN104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6" spans="5:40" x14ac:dyDescent="0.25">
      <c r="X106">
        <f t="shared" si="12"/>
        <v>99</v>
      </c>
      <c r="Y106">
        <f>IF(Table9[[#This Row],[Distance from Tip (in)]]&lt;&gt;0, ($E$64)-($F$64)*(X105), 0)</f>
        <v>67.410072145464255</v>
      </c>
      <c r="Z106">
        <f t="shared" si="13"/>
        <v>0</v>
      </c>
      <c r="AA106" s="24">
        <f>IF(AND(Table9[[#This Row],[Distance from Tip (in)2]] &lt;&gt; ROUND($J$16,0),AA105 &lt;&gt;0 ), ($G$68)-($F$68*(Z106-$D$68)),0)</f>
        <v>0</v>
      </c>
      <c r="AC106" s="24"/>
      <c r="AF106"/>
      <c r="AK106">
        <f t="shared" si="14"/>
        <v>99</v>
      </c>
      <c r="AL106">
        <f>IF(Table97[[#This Row],[Distance from Tip (in)]]&lt;&gt;0,($E$56*Table97[[#This Row],[Distance from Tip (in)]])-($G$56*(Table97[[#This Row],[Distance from Tip (in)]]^2)/2), 0)</f>
        <v>6045.3844612190696</v>
      </c>
      <c r="AM106">
        <f t="shared" si="15"/>
        <v>0</v>
      </c>
      <c r="AN106" s="24">
        <f>IF(AND(Table97[[#This Row],[Distance from Tip (in)2]] &lt;&gt; ROUND($J$16,0),AN105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7" spans="5:40" x14ac:dyDescent="0.25">
      <c r="X107">
        <f t="shared" si="12"/>
        <v>100</v>
      </c>
      <c r="Y107">
        <f>IF(Table9[[#This Row],[Distance from Tip (in)]]&lt;&gt;0, ($E$64)-($F$64)*(X106), 0)</f>
        <v>67.540908900891068</v>
      </c>
      <c r="Z107">
        <f t="shared" si="13"/>
        <v>0</v>
      </c>
      <c r="AA107" s="24">
        <f>IF(AND(Table9[[#This Row],[Distance from Tip (in)2]] &lt;&gt; ROUND($J$16,0),AA106 &lt;&gt;0 ), ($G$68)-($F$68*(Z107-$D$68)),0)</f>
        <v>0</v>
      </c>
      <c r="AC107" s="24"/>
      <c r="AF107"/>
      <c r="AK107">
        <f t="shared" si="14"/>
        <v>100</v>
      </c>
      <c r="AL107">
        <f>IF(Table97[[#This Row],[Distance from Tip (in)]]&lt;&gt;0,($E$56*Table97[[#This Row],[Distance from Tip (in)]])-($G$56*(Table97[[#This Row],[Distance from Tip (in)]]^2)/2), 0)</f>
        <v>6112.9907884976747</v>
      </c>
      <c r="AM107">
        <f t="shared" si="15"/>
        <v>0</v>
      </c>
      <c r="AN107" s="24">
        <f>IF(AND(Table97[[#This Row],[Distance from Tip (in)2]] &lt;&gt; ROUND($J$16,0),AN106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8" spans="5:40" x14ac:dyDescent="0.25">
      <c r="X108">
        <f t="shared" si="12"/>
        <v>101</v>
      </c>
      <c r="Y108">
        <f>IF(Table9[[#This Row],[Distance from Tip (in)]]&lt;&gt;0, ($E$64)-($F$64)*(X107), 0)</f>
        <v>67.671745656317896</v>
      </c>
      <c r="Z108">
        <f t="shared" si="13"/>
        <v>0</v>
      </c>
      <c r="AA108" s="24">
        <f>IF(AND(Table9[[#This Row],[Distance from Tip (in)2]] &lt;&gt; ROUND($J$16,0),AA107 &lt;&gt;0 ), ($G$68)-($F$68*(Z108-$D$68)),0)</f>
        <v>0</v>
      </c>
      <c r="AC108" s="24"/>
      <c r="AF108"/>
      <c r="AK108">
        <f t="shared" si="14"/>
        <v>101</v>
      </c>
      <c r="AL108">
        <f>IF(Table97[[#This Row],[Distance from Tip (in)]]&lt;&gt;0,($E$56*Table97[[#This Row],[Distance from Tip (in)]])-($G$56*(Table97[[#This Row],[Distance from Tip (in)]]^2)/2), 0)</f>
        <v>6180.7279525317044</v>
      </c>
      <c r="AM108">
        <f t="shared" si="15"/>
        <v>0</v>
      </c>
      <c r="AN108" s="24">
        <f>IF(AND(Table97[[#This Row],[Distance from Tip (in)2]] &lt;&gt; ROUND($J$16,0),AN107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09" spans="5:40" x14ac:dyDescent="0.25">
      <c r="X109">
        <f t="shared" si="12"/>
        <v>102</v>
      </c>
      <c r="Y109">
        <f>IF(Table9[[#This Row],[Distance from Tip (in)]]&lt;&gt;0, ($E$64)-($F$64)*(X108), 0)</f>
        <v>67.802582411744723</v>
      </c>
      <c r="Z109">
        <f t="shared" si="13"/>
        <v>0</v>
      </c>
      <c r="AA109" s="24">
        <f>IF(AND(Table9[[#This Row],[Distance from Tip (in)2]] &lt;&gt; ROUND($J$16,0),AA108 &lt;&gt;0 ), ($G$68)-($F$68*(Z109-$D$68)),0)</f>
        <v>0</v>
      </c>
      <c r="AC109" s="24"/>
      <c r="AF109"/>
      <c r="AK109">
        <f t="shared" si="14"/>
        <v>102</v>
      </c>
      <c r="AL109">
        <f>IF(Table97[[#This Row],[Distance from Tip (in)]]&lt;&gt;0,($E$56*Table97[[#This Row],[Distance from Tip (in)]])-($G$56*(Table97[[#This Row],[Distance from Tip (in)]]^2)/2), 0)</f>
        <v>6248.5959533211635</v>
      </c>
      <c r="AM109">
        <f t="shared" si="15"/>
        <v>0</v>
      </c>
      <c r="AN109" s="24">
        <f>IF(AND(Table97[[#This Row],[Distance from Tip (in)2]] &lt;&gt; ROUND($J$16,0),AN108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0" spans="5:40" x14ac:dyDescent="0.25">
      <c r="X110">
        <f t="shared" si="12"/>
        <v>103</v>
      </c>
      <c r="Y110">
        <f>IF(Table9[[#This Row],[Distance from Tip (in)]]&lt;&gt;0, ($E$64)-($F$64)*(X109), 0)</f>
        <v>67.933419167171536</v>
      </c>
      <c r="Z110">
        <f t="shared" si="13"/>
        <v>0</v>
      </c>
      <c r="AA110" s="24">
        <f>IF(AND(Table9[[#This Row],[Distance from Tip (in)2]] &lt;&gt; ROUND($J$16,0),AA109 &lt;&gt;0 ), ($G$68)-($F$68*(Z110-$D$68)),0)</f>
        <v>0</v>
      </c>
      <c r="AC110" s="24"/>
      <c r="AF110"/>
      <c r="AK110">
        <f t="shared" si="14"/>
        <v>103</v>
      </c>
      <c r="AL110">
        <f>IF(Table97[[#This Row],[Distance from Tip (in)]]&lt;&gt;0,($E$56*Table97[[#This Row],[Distance from Tip (in)]])-($G$56*(Table97[[#This Row],[Distance from Tip (in)]]^2)/2), 0)</f>
        <v>6316.5947908660482</v>
      </c>
      <c r="AM110">
        <f t="shared" si="15"/>
        <v>0</v>
      </c>
      <c r="AN110" s="24">
        <f>IF(AND(Table97[[#This Row],[Distance from Tip (in)2]] &lt;&gt; ROUND($J$16,0),AN109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1" spans="5:40" x14ac:dyDescent="0.25">
      <c r="X111">
        <f t="shared" si="12"/>
        <v>104</v>
      </c>
      <c r="Y111">
        <f>IF(Table9[[#This Row],[Distance from Tip (in)]]&lt;&gt;0, ($E$64)-($F$64)*(X110), 0)</f>
        <v>68.064255922598363</v>
      </c>
      <c r="Z111">
        <f t="shared" si="13"/>
        <v>0</v>
      </c>
      <c r="AA111" s="24">
        <f>IF(AND(Table9[[#This Row],[Distance from Tip (in)2]] &lt;&gt; ROUND($J$16,0),AA110 &lt;&gt;0 ), ($G$68)-($F$68*(Z111-$D$68)),0)</f>
        <v>0</v>
      </c>
      <c r="AC111" s="24"/>
      <c r="AF111"/>
      <c r="AK111">
        <f t="shared" si="14"/>
        <v>104</v>
      </c>
      <c r="AL111">
        <f>IF(Table97[[#This Row],[Distance from Tip (in)]]&lt;&gt;0,($E$56*Table97[[#This Row],[Distance from Tip (in)]])-($G$56*(Table97[[#This Row],[Distance from Tip (in)]]^2)/2), 0)</f>
        <v>6384.7244651663605</v>
      </c>
      <c r="AM111">
        <f t="shared" si="15"/>
        <v>0</v>
      </c>
      <c r="AN111" s="24">
        <f>IF(AND(Table97[[#This Row],[Distance from Tip (in)2]] &lt;&gt; ROUND($J$16,0),AN110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2" spans="5:40" x14ac:dyDescent="0.25">
      <c r="X112">
        <f t="shared" si="12"/>
        <v>105</v>
      </c>
      <c r="Y112">
        <f>IF(Table9[[#This Row],[Distance from Tip (in)]]&lt;&gt;0, ($E$64)-($F$64)*(X111), 0)</f>
        <v>68.19509267802519</v>
      </c>
      <c r="Z112">
        <f t="shared" si="13"/>
        <v>0</v>
      </c>
      <c r="AA112" s="24">
        <f>IF(AND(Table9[[#This Row],[Distance from Tip (in)2]] &lt;&gt; ROUND($J$16,0),AA111 &lt;&gt;0 ), ($G$68)-($F$68*(Z112-$D$68)),0)</f>
        <v>0</v>
      </c>
      <c r="AC112" s="24"/>
      <c r="AF112"/>
      <c r="AK112">
        <f t="shared" si="14"/>
        <v>105</v>
      </c>
      <c r="AL112">
        <f>IF(Table97[[#This Row],[Distance from Tip (in)]]&lt;&gt;0,($E$56*Table97[[#This Row],[Distance from Tip (in)]])-($G$56*(Table97[[#This Row],[Distance from Tip (in)]]^2)/2), 0)</f>
        <v>6452.9849762220983</v>
      </c>
      <c r="AM112">
        <f t="shared" si="15"/>
        <v>0</v>
      </c>
      <c r="AN112" s="24">
        <f>IF(AND(Table97[[#This Row],[Distance from Tip (in)2]] &lt;&gt; ROUND($J$16,0),AN111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3" spans="2:40" ht="45" x14ac:dyDescent="0.25">
      <c r="F113" s="23" t="s">
        <v>176</v>
      </c>
      <c r="G113" s="23" t="s">
        <v>86</v>
      </c>
      <c r="H113" s="23" t="s">
        <v>81</v>
      </c>
      <c r="X113">
        <f t="shared" si="12"/>
        <v>106</v>
      </c>
      <c r="Y113">
        <f>IF(Table9[[#This Row],[Distance from Tip (in)]]&lt;&gt;0, ($E$64)-($F$64)*(X112), 0)</f>
        <v>68.325929433452018</v>
      </c>
      <c r="Z113">
        <f t="shared" si="13"/>
        <v>0</v>
      </c>
      <c r="AA113" s="24">
        <f>IF(AND(Table9[[#This Row],[Distance from Tip (in)2]] &lt;&gt; ROUND($J$16,0),AA112 &lt;&gt;0 ), ($G$68)-($F$68*(Z113-$D$68)),0)</f>
        <v>0</v>
      </c>
      <c r="AC113" s="24"/>
      <c r="AF113"/>
      <c r="AK113">
        <f t="shared" si="14"/>
        <v>106</v>
      </c>
      <c r="AL113">
        <f>IF(Table97[[#This Row],[Distance from Tip (in)]]&lt;&gt;0,($E$56*Table97[[#This Row],[Distance from Tip (in)]])-($G$56*(Table97[[#This Row],[Distance from Tip (in)]]^2)/2), 0)</f>
        <v>6521.3763240332646</v>
      </c>
      <c r="AM113">
        <f t="shared" si="15"/>
        <v>0</v>
      </c>
      <c r="AN113" s="24">
        <f>IF(AND(Table97[[#This Row],[Distance from Tip (in)2]] &lt;&gt; ROUND($J$16,0),AN112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4" spans="2:40" x14ac:dyDescent="0.25">
      <c r="F114" s="26">
        <f>'In and Out'!C61</f>
        <v>530</v>
      </c>
      <c r="G114" s="26">
        <f>J7</f>
        <v>1.2577554684205907</v>
      </c>
      <c r="H114" s="27">
        <f>F114/G114</f>
        <v>421.38556603974877</v>
      </c>
      <c r="X114">
        <f t="shared" si="12"/>
        <v>107</v>
      </c>
      <c r="Y114">
        <f>IF(Table9[[#This Row],[Distance from Tip (in)]]&lt;&gt;0, ($E$64)-($F$64)*(X113), 0)</f>
        <v>68.456766188878831</v>
      </c>
      <c r="Z114">
        <f t="shared" si="13"/>
        <v>0</v>
      </c>
      <c r="AA114" s="24">
        <f>IF(AND(Table9[[#This Row],[Distance from Tip (in)2]] &lt;&gt; ROUND($J$16,0),AA113 &lt;&gt;0 ), ($G$68)-($F$68*(Z114-$D$68)),0)</f>
        <v>0</v>
      </c>
      <c r="AC114" s="24"/>
      <c r="AF114"/>
      <c r="AK114">
        <f t="shared" si="14"/>
        <v>107</v>
      </c>
      <c r="AL114">
        <f>IF(Table97[[#This Row],[Distance from Tip (in)]]&lt;&gt;0,($E$56*Table97[[#This Row],[Distance from Tip (in)]])-($G$56*(Table97[[#This Row],[Distance from Tip (in)]]^2)/2), 0)</f>
        <v>6589.8985085998565</v>
      </c>
      <c r="AM114">
        <f t="shared" si="15"/>
        <v>0</v>
      </c>
      <c r="AN114" s="24">
        <f>IF(AND(Table97[[#This Row],[Distance from Tip (in)2]] &lt;&gt; ROUND($J$16,0),AN113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5" spans="2:40" ht="22.5" customHeight="1" x14ac:dyDescent="0.25">
      <c r="X115">
        <f t="shared" si="12"/>
        <v>108</v>
      </c>
      <c r="Y115">
        <f>IF(Table9[[#This Row],[Distance from Tip (in)]]&lt;&gt;0, ($E$64)-($F$64)*(X114), 0)</f>
        <v>68.587602944305658</v>
      </c>
      <c r="Z115">
        <f t="shared" si="13"/>
        <v>0</v>
      </c>
      <c r="AA115" s="24">
        <f>IF(AND(Table9[[#This Row],[Distance from Tip (in)2]] &lt;&gt; ROUND($J$16,0),AA114 &lt;&gt;0 ), ($G$68)-($F$68*(Z115-$D$68)),0)</f>
        <v>0</v>
      </c>
      <c r="AC115" s="24"/>
      <c r="AF115"/>
      <c r="AK115">
        <f t="shared" si="14"/>
        <v>108</v>
      </c>
      <c r="AL115">
        <f>IF(Table97[[#This Row],[Distance from Tip (in)]]&lt;&gt;0,($E$56*Table97[[#This Row],[Distance from Tip (in)]])-($G$56*(Table97[[#This Row],[Distance from Tip (in)]]^2)/2), 0)</f>
        <v>6658.551529921875</v>
      </c>
      <c r="AM115">
        <f t="shared" si="15"/>
        <v>0</v>
      </c>
      <c r="AN115" s="24">
        <f>IF(AND(Table97[[#This Row],[Distance from Tip (in)2]] &lt;&gt; ROUND($J$16,0),AN114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6" spans="2:40" ht="18" customHeight="1" x14ac:dyDescent="0.25">
      <c r="X116">
        <f t="shared" si="12"/>
        <v>109</v>
      </c>
      <c r="Y116">
        <f>IF(Table9[[#This Row],[Distance from Tip (in)]]&lt;&gt;0, ($E$64)-($F$64)*(X115), 0)</f>
        <v>68.718439699732485</v>
      </c>
      <c r="Z116">
        <f t="shared" si="13"/>
        <v>0</v>
      </c>
      <c r="AA116" s="24">
        <f>IF(AND(Table9[[#This Row],[Distance from Tip (in)2]] &lt;&gt; ROUND($J$16,0),AA115 &lt;&gt;0 ), ($G$68)-($F$68*(Z116-$D$68)),0)</f>
        <v>0</v>
      </c>
      <c r="AC116" s="24"/>
      <c r="AF116"/>
      <c r="AK116">
        <f t="shared" si="14"/>
        <v>109</v>
      </c>
      <c r="AL116">
        <f>IF(Table97[[#This Row],[Distance from Tip (in)]]&lt;&gt;0,($E$56*Table97[[#This Row],[Distance from Tip (in)]])-($G$56*(Table97[[#This Row],[Distance from Tip (in)]]^2)/2), 0)</f>
        <v>6727.335387999321</v>
      </c>
      <c r="AM116">
        <f t="shared" si="15"/>
        <v>0</v>
      </c>
      <c r="AN116" s="24">
        <f>IF(AND(Table97[[#This Row],[Distance from Tip (in)2]] &lt;&gt; ROUND($J$16,0),AN115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7" spans="2:40" ht="45.75" customHeight="1" x14ac:dyDescent="0.25">
      <c r="F117" s="23" t="s">
        <v>177</v>
      </c>
      <c r="G117" s="23" t="s">
        <v>86</v>
      </c>
      <c r="H117" s="23" t="s">
        <v>70</v>
      </c>
      <c r="X117">
        <f t="shared" si="12"/>
        <v>110</v>
      </c>
      <c r="Y117">
        <f>IF(Table9[[#This Row],[Distance from Tip (in)]]&lt;&gt;0, ($E$64)-($F$64)*(X116), 0)</f>
        <v>68.849276455159298</v>
      </c>
      <c r="Z117">
        <f t="shared" si="13"/>
        <v>0</v>
      </c>
      <c r="AA117" s="24">
        <f>IF(AND(Table9[[#This Row],[Distance from Tip (in)2]] &lt;&gt; ROUND($J$16,0),AA116 &lt;&gt;0 ), ($G$68)-($F$68*(Z117-$D$68)),0)</f>
        <v>0</v>
      </c>
      <c r="AC117" s="24"/>
      <c r="AF117"/>
      <c r="AK117">
        <f t="shared" si="14"/>
        <v>110</v>
      </c>
      <c r="AL117">
        <f>IF(Table97[[#This Row],[Distance from Tip (in)]]&lt;&gt;0,($E$56*Table97[[#This Row],[Distance from Tip (in)]])-($G$56*(Table97[[#This Row],[Distance from Tip (in)]]^2)/2), 0)</f>
        <v>6796.2500828321936</v>
      </c>
      <c r="AM117">
        <f t="shared" si="15"/>
        <v>0</v>
      </c>
      <c r="AN117" s="24">
        <f>IF(AND(Table97[[#This Row],[Distance from Tip (in)2]] &lt;&gt; ROUND($J$16,0),AN116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8" spans="2:40" x14ac:dyDescent="0.25">
      <c r="F118" s="26">
        <f>G42</f>
        <v>680.36329938404378</v>
      </c>
      <c r="G118" s="26">
        <f>J7</f>
        <v>1.2577554684205907</v>
      </c>
      <c r="H118" s="27">
        <f>F118/G118</f>
        <v>540.93447928984222</v>
      </c>
      <c r="X118">
        <f t="shared" si="12"/>
        <v>111</v>
      </c>
      <c r="Y118">
        <f>IF(Table9[[#This Row],[Distance from Tip (in)]]&lt;&gt;0, ($E$64)-($F$64)*(X117), 0)</f>
        <v>68.980113210586126</v>
      </c>
      <c r="Z118">
        <f t="shared" si="13"/>
        <v>0</v>
      </c>
      <c r="AA118" s="24">
        <f>IF(AND(Table9[[#This Row],[Distance from Tip (in)2]] &lt;&gt; ROUND($J$16,0),AA117 &lt;&gt;0 ), ($G$68)-($F$68*(Z118-$D$68)),0)</f>
        <v>0</v>
      </c>
      <c r="AC118" s="24"/>
      <c r="AF118"/>
      <c r="AK118">
        <f t="shared" si="14"/>
        <v>111</v>
      </c>
      <c r="AL118">
        <f>IF(Table97[[#This Row],[Distance from Tip (in)]]&lt;&gt;0,($E$56*Table97[[#This Row],[Distance from Tip (in)]])-($G$56*(Table97[[#This Row],[Distance from Tip (in)]]^2)/2), 0)</f>
        <v>6865.2956144204936</v>
      </c>
      <c r="AM118">
        <f t="shared" si="15"/>
        <v>0</v>
      </c>
      <c r="AN118" s="24">
        <f>IF(AND(Table97[[#This Row],[Distance from Tip (in)2]] &lt;&gt; ROUND($J$16,0),AN117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19" spans="2:40" x14ac:dyDescent="0.25">
      <c r="X119">
        <f t="shared" si="12"/>
        <v>112</v>
      </c>
      <c r="Y119">
        <f>IF(Table9[[#This Row],[Distance from Tip (in)]]&lt;&gt;0, ($E$64)-($F$64)*(X118), 0)</f>
        <v>69.110949966012953</v>
      </c>
      <c r="Z119">
        <f t="shared" si="13"/>
        <v>0</v>
      </c>
      <c r="AA119" s="24">
        <f>IF(AND(Table9[[#This Row],[Distance from Tip (in)2]] &lt;&gt; ROUND($J$16,0),AA118 &lt;&gt;0 ), ($G$68)-($F$68*(Z119-$D$68)),0)</f>
        <v>0</v>
      </c>
      <c r="AC119" s="24"/>
      <c r="AF119"/>
      <c r="AK119">
        <f t="shared" si="14"/>
        <v>112</v>
      </c>
      <c r="AL119">
        <f>IF(Table97[[#This Row],[Distance from Tip (in)]]&lt;&gt;0,($E$56*Table97[[#This Row],[Distance from Tip (in)]])-($G$56*(Table97[[#This Row],[Distance from Tip (in)]]^2)/2), 0)</f>
        <v>6934.4719827642202</v>
      </c>
      <c r="AM119">
        <f t="shared" si="15"/>
        <v>0</v>
      </c>
      <c r="AN119" s="24">
        <f>IF(AND(Table97[[#This Row],[Distance from Tip (in)2]] &lt;&gt; ROUND($J$16,0),AN118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0" spans="2:40" x14ac:dyDescent="0.25">
      <c r="X120">
        <f t="shared" si="12"/>
        <v>113</v>
      </c>
      <c r="Y120">
        <f>IF(Table9[[#This Row],[Distance from Tip (in)]]&lt;&gt;0, ($E$64)-($F$64)*(X119), 0)</f>
        <v>69.24178672143978</v>
      </c>
      <c r="Z120">
        <f t="shared" si="13"/>
        <v>0</v>
      </c>
      <c r="AA120" s="24">
        <f>IF(AND(Table9[[#This Row],[Distance from Tip (in)2]] &lt;&gt; ROUND($J$16,0),AA119 &lt;&gt;0 ), ($G$68)-($F$68*(Z120-$D$68)),0)</f>
        <v>0</v>
      </c>
      <c r="AC120" s="24"/>
      <c r="AF120"/>
      <c r="AK120">
        <f t="shared" si="14"/>
        <v>113</v>
      </c>
      <c r="AL120">
        <f>IF(Table97[[#This Row],[Distance from Tip (in)]]&lt;&gt;0,($E$56*Table97[[#This Row],[Distance from Tip (in)]])-($G$56*(Table97[[#This Row],[Distance from Tip (in)]]^2)/2), 0)</f>
        <v>7003.7791878633734</v>
      </c>
      <c r="AM120">
        <f t="shared" si="15"/>
        <v>0</v>
      </c>
      <c r="AN120" s="24">
        <f>IF(AND(Table97[[#This Row],[Distance from Tip (in)2]] &lt;&gt; ROUND($J$16,0),AN119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1" spans="2:40" ht="45" x14ac:dyDescent="0.25">
      <c r="E121" s="23" t="s">
        <v>178</v>
      </c>
      <c r="F121" s="23" t="s">
        <v>179</v>
      </c>
      <c r="G121" s="23" t="s">
        <v>86</v>
      </c>
      <c r="H121" s="23" t="s">
        <v>77</v>
      </c>
      <c r="I121" s="31"/>
      <c r="X121">
        <f t="shared" si="12"/>
        <v>114</v>
      </c>
      <c r="Y121">
        <f>IF(Table9[[#This Row],[Distance from Tip (in)]]&lt;&gt;0, ($E$64)-($F$64)*(X120), 0)</f>
        <v>69.372623476866593</v>
      </c>
      <c r="Z121">
        <f t="shared" si="13"/>
        <v>0</v>
      </c>
      <c r="AA121" s="24">
        <f>IF(AND(Table9[[#This Row],[Distance from Tip (in)2]] &lt;&gt; ROUND($J$16,0),AA120 &lt;&gt;0 ), ($G$68)-($F$68*(Z121-$D$68)),0)</f>
        <v>0</v>
      </c>
      <c r="AC121" s="24"/>
      <c r="AF121"/>
      <c r="AK121">
        <f t="shared" si="14"/>
        <v>114</v>
      </c>
      <c r="AL121">
        <f>IF(Table97[[#This Row],[Distance from Tip (in)]]&lt;&gt;0,($E$56*Table97[[#This Row],[Distance from Tip (in)]])-($G$56*(Table97[[#This Row],[Distance from Tip (in)]]^2)/2), 0)</f>
        <v>7073.2172297179532</v>
      </c>
      <c r="AM121">
        <f t="shared" si="15"/>
        <v>0</v>
      </c>
      <c r="AN121" s="24">
        <f>IF(AND(Table97[[#This Row],[Distance from Tip (in)2]] &lt;&gt; ROUND($J$16,0),AN120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2" spans="2:40" x14ac:dyDescent="0.25">
      <c r="E122" s="26">
        <f>D5</f>
        <v>122</v>
      </c>
      <c r="F122" s="26">
        <f>F3</f>
        <v>3.53</v>
      </c>
      <c r="G122" s="26">
        <f>J7</f>
        <v>1.2577554684205907</v>
      </c>
      <c r="H122" s="27">
        <f>((E122*G16)*(1+F122))/G122</f>
        <v>14137.335053950221</v>
      </c>
      <c r="X122">
        <f t="shared" si="12"/>
        <v>115</v>
      </c>
      <c r="Y122">
        <f>IF(Table9[[#This Row],[Distance from Tip (in)]]&lt;&gt;0, ($E$64)-($F$64)*(X121), 0)</f>
        <v>69.503460232293421</v>
      </c>
      <c r="Z122">
        <f t="shared" si="13"/>
        <v>0</v>
      </c>
      <c r="AA122" s="24">
        <f>IF(AND(Table9[[#This Row],[Distance from Tip (in)2]] &lt;&gt; ROUND($J$16,0),AA121 &lt;&gt;0 ), ($G$68)-($F$68*(Z122-$D$68)),0)</f>
        <v>0</v>
      </c>
      <c r="AC122" s="24"/>
      <c r="AF122"/>
      <c r="AK122">
        <f t="shared" si="14"/>
        <v>115</v>
      </c>
      <c r="AL122">
        <f>IF(Table97[[#This Row],[Distance from Tip (in)]]&lt;&gt;0,($E$56*Table97[[#This Row],[Distance from Tip (in)]])-($G$56*(Table97[[#This Row],[Distance from Tip (in)]]^2)/2), 0)</f>
        <v>7142.7861083279604</v>
      </c>
      <c r="AM122">
        <f t="shared" si="15"/>
        <v>0</v>
      </c>
      <c r="AN122" s="24">
        <f>IF(AND(Table97[[#This Row],[Distance from Tip (in)2]] &lt;&gt; ROUND($J$16,0),AN121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3" spans="2:40" x14ac:dyDescent="0.25">
      <c r="G123" s="26"/>
      <c r="X123">
        <f t="shared" si="12"/>
        <v>0</v>
      </c>
      <c r="Y123">
        <f>IF(Table9[[#This Row],[Distance from Tip (in)]]&lt;&gt;0, ($E$64)-($F$64)*(X122), 0)</f>
        <v>0</v>
      </c>
      <c r="Z123">
        <f t="shared" si="13"/>
        <v>0</v>
      </c>
      <c r="AA123" s="24">
        <f>IF(AND(Table9[[#This Row],[Distance from Tip (in)2]] &lt;&gt; ROUND($J$16,0),AA122 &lt;&gt;0 ), ($G$68)-($F$68*(Z123-$D$68)),0)</f>
        <v>0</v>
      </c>
      <c r="AC123" s="24"/>
      <c r="AF123"/>
      <c r="AK123">
        <f t="shared" si="14"/>
        <v>0</v>
      </c>
      <c r="AL123">
        <f>IF(Table97[[#This Row],[Distance from Tip (in)]]&lt;&gt;0,($E$56*Table97[[#This Row],[Distance from Tip (in)]])-($G$56*(Table97[[#This Row],[Distance from Tip (in)]]^2)/2), 0)</f>
        <v>0</v>
      </c>
      <c r="AM123">
        <f t="shared" si="15"/>
        <v>0</v>
      </c>
      <c r="AN123" s="24">
        <f>IF(AND(Table97[[#This Row],[Distance from Tip (in)2]] &lt;&gt; ROUND($J$16,0),AN122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4" spans="2:40" ht="45" x14ac:dyDescent="0.25">
      <c r="B124" s="24" t="s">
        <v>180</v>
      </c>
      <c r="D124" s="23" t="s">
        <v>81</v>
      </c>
      <c r="E124" s="23" t="s">
        <v>93</v>
      </c>
      <c r="F124" s="23" t="s">
        <v>70</v>
      </c>
      <c r="G124" s="23" t="s">
        <v>77</v>
      </c>
      <c r="H124" s="23" t="s">
        <v>84</v>
      </c>
      <c r="X124">
        <f t="shared" si="12"/>
        <v>0</v>
      </c>
      <c r="Y124">
        <f>IF(Table9[[#This Row],[Distance from Tip (in)]]&lt;&gt;0, ($E$64)-($F$64)*(X123), 0)</f>
        <v>0</v>
      </c>
      <c r="Z124">
        <f t="shared" si="13"/>
        <v>0</v>
      </c>
      <c r="AA124" s="24">
        <f>IF(AND(Table9[[#This Row],[Distance from Tip (in)2]] &lt;&gt; ROUND($J$16,0),AA123 &lt;&gt;0 ), ($G$68)-($F$68*(Z124-$D$68)),0)</f>
        <v>0</v>
      </c>
      <c r="AC124" s="24"/>
      <c r="AF124"/>
      <c r="AK124">
        <f t="shared" si="14"/>
        <v>0</v>
      </c>
      <c r="AL124">
        <f>IF(Table97[[#This Row],[Distance from Tip (in)]]&lt;&gt;0,($E$56*Table97[[#This Row],[Distance from Tip (in)]])-($G$56*(Table97[[#This Row],[Distance from Tip (in)]]^2)/2), 0)</f>
        <v>0</v>
      </c>
      <c r="AM124">
        <f t="shared" si="15"/>
        <v>0</v>
      </c>
      <c r="AN124" s="24">
        <f>IF(AND(Table97[[#This Row],[Distance from Tip (in)2]] &lt;&gt; ROUND($J$16,0),AN123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5" spans="2:40" x14ac:dyDescent="0.25">
      <c r="B125" s="24">
        <f>SUM(D125,F125:G125)</f>
        <v>15099.655099279811</v>
      </c>
      <c r="D125" s="26">
        <f>H114</f>
        <v>421.38556603974877</v>
      </c>
      <c r="E125" s="26">
        <f>MAX(H85:H86)</f>
        <v>5285.9928359377745</v>
      </c>
      <c r="F125" s="26">
        <f>H118</f>
        <v>540.93447928984222</v>
      </c>
      <c r="G125" s="26">
        <f>H122</f>
        <v>14137.335053950221</v>
      </c>
      <c r="H125" s="27">
        <f>SUM(D125:G125)</f>
        <v>20385.647935217585</v>
      </c>
      <c r="X125">
        <f t="shared" si="12"/>
        <v>0</v>
      </c>
      <c r="Y125">
        <f>IF(Table9[[#This Row],[Distance from Tip (in)]]&lt;&gt;0, ($E$64)-($F$64)*(X124), 0)</f>
        <v>0</v>
      </c>
      <c r="Z125">
        <f t="shared" si="13"/>
        <v>0</v>
      </c>
      <c r="AA125" s="24">
        <f>IF(AND(Table9[[#This Row],[Distance from Tip (in)2]] &lt;&gt; ROUND($J$16,0),AA124 &lt;&gt;0 ), ($G$68)-($F$68*(Z125-$D$68)),0)</f>
        <v>0</v>
      </c>
      <c r="AC125" s="24"/>
      <c r="AF125"/>
      <c r="AK125">
        <f t="shared" si="14"/>
        <v>0</v>
      </c>
      <c r="AL125">
        <f>IF(Table97[[#This Row],[Distance from Tip (in)]]&lt;&gt;0,($E$56*Table97[[#This Row],[Distance from Tip (in)]])-($G$56*(Table97[[#This Row],[Distance from Tip (in)]]^2)/2), 0)</f>
        <v>0</v>
      </c>
      <c r="AM125">
        <f t="shared" si="15"/>
        <v>0</v>
      </c>
      <c r="AN125" s="24">
        <f>IF(AND(Table97[[#This Row],[Distance from Tip (in)2]] &lt;&gt; ROUND($J$16,0),AN124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6" spans="2:40" x14ac:dyDescent="0.25">
      <c r="B126" s="24">
        <f>B125*G129</f>
        <v>18991.673772384042</v>
      </c>
      <c r="X126">
        <f t="shared" si="12"/>
        <v>0</v>
      </c>
      <c r="Y126">
        <f>IF(Table9[[#This Row],[Distance from Tip (in)]]&lt;&gt;0, ($E$64)-($F$64)*(X125), 0)</f>
        <v>0</v>
      </c>
      <c r="Z126">
        <f t="shared" si="13"/>
        <v>0</v>
      </c>
      <c r="AA126" s="24">
        <f>IF(AND(Table9[[#This Row],[Distance from Tip (in)2]] &lt;&gt; ROUND($J$16,0),AA125 &lt;&gt;0 ), ($G$68)-($F$68*(Z126-$D$68)),0)</f>
        <v>0</v>
      </c>
      <c r="AC126" s="24"/>
      <c r="AF126"/>
      <c r="AK126">
        <f t="shared" si="14"/>
        <v>0</v>
      </c>
      <c r="AL126">
        <f>IF(Table97[[#This Row],[Distance from Tip (in)]]&lt;&gt;0,($E$56*Table97[[#This Row],[Distance from Tip (in)]])-($G$56*(Table97[[#This Row],[Distance from Tip (in)]]^2)/2), 0)</f>
        <v>0</v>
      </c>
      <c r="AM126">
        <f t="shared" si="15"/>
        <v>0</v>
      </c>
      <c r="AN126" s="24">
        <f>IF(AND(Table97[[#This Row],[Distance from Tip (in)2]] &lt;&gt; ROUND($J$16,0),AN125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7" spans="2:40" ht="30" x14ac:dyDescent="0.25">
      <c r="E127" s="24" t="s">
        <v>181</v>
      </c>
      <c r="F127" s="24" t="s">
        <v>182</v>
      </c>
      <c r="X127">
        <f t="shared" si="12"/>
        <v>0</v>
      </c>
      <c r="Y127">
        <f>IF(Table9[[#This Row],[Distance from Tip (in)]]&lt;&gt;0, ($E$64)-($F$64)*(X126), 0)</f>
        <v>0</v>
      </c>
      <c r="Z127">
        <f t="shared" si="13"/>
        <v>0</v>
      </c>
      <c r="AA127" s="24">
        <f>IF(AND(Table9[[#This Row],[Distance from Tip (in)2]] &lt;&gt; ROUND($J$16,0),AA126 &lt;&gt;0 ), ($G$68)-($F$68*(Z127-$D$68)),0)</f>
        <v>0</v>
      </c>
      <c r="AC127" s="24"/>
      <c r="AF127"/>
      <c r="AK127">
        <f t="shared" si="14"/>
        <v>0</v>
      </c>
      <c r="AL127">
        <f>IF(Table97[[#This Row],[Distance from Tip (in)]]&lt;&gt;0,($E$56*Table97[[#This Row],[Distance from Tip (in)]])-($G$56*(Table97[[#This Row],[Distance from Tip (in)]]^2)/2), 0)</f>
        <v>0</v>
      </c>
      <c r="AM127">
        <f t="shared" si="15"/>
        <v>0</v>
      </c>
      <c r="AN127" s="24">
        <f>IF(AND(Table97[[#This Row],[Distance from Tip (in)2]] &lt;&gt; ROUND($J$16,0),AN126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8" spans="2:40" ht="45" x14ac:dyDescent="0.25">
      <c r="F128" s="24" t="s">
        <v>183</v>
      </c>
      <c r="G128" s="202" t="s">
        <v>184</v>
      </c>
      <c r="H128" s="202"/>
      <c r="I128" s="202"/>
      <c r="X128">
        <f t="shared" si="12"/>
        <v>0</v>
      </c>
      <c r="Y128">
        <f>IF(Table9[[#This Row],[Distance from Tip (in)]]&lt;&gt;0, ($E$64)-($F$64)*(X127), 0)</f>
        <v>0</v>
      </c>
      <c r="Z128">
        <f t="shared" si="13"/>
        <v>0</v>
      </c>
      <c r="AA128" s="24">
        <f>IF(AND(Table9[[#This Row],[Distance from Tip (in)2]] &lt;&gt; ROUND($J$16,0),AA127 &lt;&gt;0 ), ($G$68)-($F$68*(Z128-$D$68)),0)</f>
        <v>0</v>
      </c>
      <c r="AC128" s="24"/>
      <c r="AF128"/>
      <c r="AK128">
        <f t="shared" si="14"/>
        <v>0</v>
      </c>
      <c r="AL128">
        <f>IF(Table97[[#This Row],[Distance from Tip (in)]]&lt;&gt;0,($E$56*Table97[[#This Row],[Distance from Tip (in)]])-($G$56*(Table97[[#This Row],[Distance from Tip (in)]]^2)/2), 0)</f>
        <v>0</v>
      </c>
      <c r="AM128">
        <f t="shared" si="15"/>
        <v>0</v>
      </c>
      <c r="AN128" s="24">
        <f>IF(AND(Table97[[#This Row],[Distance from Tip (in)2]] &lt;&gt; ROUND($J$16,0),AN127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29" spans="1:40" x14ac:dyDescent="0.25">
      <c r="G129" s="24">
        <f>PI()*(((3+(('Laminator Calcs'!C8*'Laminator Calcs'!D8)))^2)-(3^2))</f>
        <v>1.2577554684205907</v>
      </c>
      <c r="X129">
        <f t="shared" si="12"/>
        <v>0</v>
      </c>
      <c r="Y129">
        <f>IF(Table9[[#This Row],[Distance from Tip (in)]]&lt;&gt;0, ($E$64)-($F$64)*(X128), 0)</f>
        <v>0</v>
      </c>
      <c r="Z129">
        <f t="shared" si="13"/>
        <v>0</v>
      </c>
      <c r="AA129" s="24">
        <f>IF(AND(Table9[[#This Row],[Distance from Tip (in)2]] &lt;&gt; ROUND($J$16,0),AA128 &lt;&gt;0 ), ($G$68)-($F$68*(Z129-$D$68)),0)</f>
        <v>0</v>
      </c>
      <c r="AC129" s="24"/>
      <c r="AF129"/>
      <c r="AK129">
        <f t="shared" si="14"/>
        <v>0</v>
      </c>
      <c r="AL129">
        <f>IF(Table97[[#This Row],[Distance from Tip (in)]]&lt;&gt;0,($E$56*Table97[[#This Row],[Distance from Tip (in)]])-($G$56*(Table97[[#This Row],[Distance from Tip (in)]]^2)/2), 0)</f>
        <v>0</v>
      </c>
      <c r="AM129">
        <f t="shared" si="15"/>
        <v>0</v>
      </c>
      <c r="AN129" s="24">
        <f>IF(AND(Table97[[#This Row],[Distance from Tip (in)2]] &lt;&gt; ROUND($J$16,0),AN128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0" spans="1:40" x14ac:dyDescent="0.25">
      <c r="X130">
        <f t="shared" si="12"/>
        <v>0</v>
      </c>
      <c r="Y130">
        <f>IF(Table9[[#This Row],[Distance from Tip (in)]]&lt;&gt;0, ($E$64)-($F$64)*(X129), 0)</f>
        <v>0</v>
      </c>
      <c r="Z130">
        <f t="shared" si="13"/>
        <v>0</v>
      </c>
      <c r="AA130" s="24">
        <f>IF(AND(Table9[[#This Row],[Distance from Tip (in)2]] &lt;&gt; ROUND($J$16,0),AA129 &lt;&gt;0 ), ($G$68)-($F$68*(Z130-$D$68)),0)</f>
        <v>0</v>
      </c>
      <c r="AC130" s="24"/>
      <c r="AF130"/>
      <c r="AK130">
        <f t="shared" si="14"/>
        <v>0</v>
      </c>
      <c r="AL130">
        <f>IF(Table97[[#This Row],[Distance from Tip (in)]]&lt;&gt;0,($E$56*Table97[[#This Row],[Distance from Tip (in)]])-($G$56*(Table97[[#This Row],[Distance from Tip (in)]]^2)/2), 0)</f>
        <v>0</v>
      </c>
      <c r="AM130">
        <f t="shared" si="15"/>
        <v>0</v>
      </c>
      <c r="AN130" s="24">
        <f>IF(AND(Table97[[#This Row],[Distance from Tip (in)2]] &lt;&gt; ROUND($J$16,0),AN129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1" spans="1:40" x14ac:dyDescent="0.25">
      <c r="X131">
        <f t="shared" si="12"/>
        <v>0</v>
      </c>
      <c r="Y131">
        <f>IF(Table9[[#This Row],[Distance from Tip (in)]]&lt;&gt;0, ($E$64)-($F$64)*(X130), 0)</f>
        <v>0</v>
      </c>
      <c r="Z131">
        <f t="shared" si="13"/>
        <v>0</v>
      </c>
      <c r="AA131" s="24">
        <f>IF(AND(Table9[[#This Row],[Distance from Tip (in)2]] &lt;&gt; ROUND($J$16,0),AA130 &lt;&gt;0 ), ($G$68)-($F$68*(Z131-$D$68)),0)</f>
        <v>0</v>
      </c>
      <c r="AC131" s="24"/>
      <c r="AF131"/>
      <c r="AK131">
        <f t="shared" si="14"/>
        <v>0</v>
      </c>
      <c r="AL131">
        <f>IF(Table97[[#This Row],[Distance from Tip (in)]]&lt;&gt;0,($E$56*Table97[[#This Row],[Distance from Tip (in)]])-($G$56*(Table97[[#This Row],[Distance from Tip (in)]]^2)/2), 0)</f>
        <v>0</v>
      </c>
      <c r="AM131">
        <f t="shared" si="15"/>
        <v>0</v>
      </c>
      <c r="AN131" s="24">
        <f>IF(AND(Table97[[#This Row],[Distance from Tip (in)2]] &lt;&gt; ROUND($J$16,0),AN130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2" spans="1:40" ht="30.75" customHeight="1" x14ac:dyDescent="0.25">
      <c r="A132" s="181" t="s">
        <v>185</v>
      </c>
      <c r="B132" s="181"/>
      <c r="C132" s="181"/>
      <c r="X132">
        <f t="shared" si="12"/>
        <v>0</v>
      </c>
      <c r="Y132">
        <f>IF(Table9[[#This Row],[Distance from Tip (in)]]&lt;&gt;0, ($E$64)-($F$64)*(X131), 0)</f>
        <v>0</v>
      </c>
      <c r="Z132">
        <f t="shared" si="13"/>
        <v>0</v>
      </c>
      <c r="AA132" s="24">
        <f>IF(AND(Table9[[#This Row],[Distance from Tip (in)2]] &lt;&gt; ROUND($J$16,0),AA131 &lt;&gt;0 ), ($G$68)-($F$68*(Z132-$D$68)),0)</f>
        <v>0</v>
      </c>
      <c r="AC132" s="24"/>
      <c r="AF132"/>
      <c r="AK132">
        <f t="shared" si="14"/>
        <v>0</v>
      </c>
      <c r="AL132">
        <f>IF(Table97[[#This Row],[Distance from Tip (in)]]&lt;&gt;0,($E$56*Table97[[#This Row],[Distance from Tip (in)]])-($G$56*(Table97[[#This Row],[Distance from Tip (in)]]^2)/2), 0)</f>
        <v>0</v>
      </c>
      <c r="AM132">
        <f t="shared" si="15"/>
        <v>0</v>
      </c>
      <c r="AN132" s="24">
        <f>IF(AND(Table97[[#This Row],[Distance from Tip (in)2]] &lt;&gt; ROUND($J$16,0),AN131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3" spans="1:40" ht="14.65" customHeight="1" x14ac:dyDescent="0.25">
      <c r="A133" s="181"/>
      <c r="B133" s="181"/>
      <c r="C133" s="181"/>
      <c r="X133">
        <f t="shared" si="12"/>
        <v>0</v>
      </c>
      <c r="Y133">
        <f>IF(Table9[[#This Row],[Distance from Tip (in)]]&lt;&gt;0, ($E$64)-($F$64)*(X132), 0)</f>
        <v>0</v>
      </c>
      <c r="Z133">
        <f t="shared" si="13"/>
        <v>0</v>
      </c>
      <c r="AA133" s="24">
        <f>IF(AND(Table9[[#This Row],[Distance from Tip (in)2]] &lt;&gt; ROUND($J$16,0),AA132 &lt;&gt;0 ), ($G$68)-($F$68*(Z133-$D$68)),0)</f>
        <v>0</v>
      </c>
      <c r="AC133" s="24"/>
      <c r="AF133"/>
      <c r="AK133">
        <f t="shared" si="14"/>
        <v>0</v>
      </c>
      <c r="AL133">
        <f>IF(Table97[[#This Row],[Distance from Tip (in)]]&lt;&gt;0,($E$56*Table97[[#This Row],[Distance from Tip (in)]])-($G$56*(Table97[[#This Row],[Distance from Tip (in)]]^2)/2), 0)</f>
        <v>0</v>
      </c>
      <c r="AM133">
        <f t="shared" si="15"/>
        <v>0</v>
      </c>
      <c r="AN133" s="24">
        <f>IF(AND(Table97[[#This Row],[Distance from Tip (in)2]] &lt;&gt; ROUND($J$16,0),AN132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4" spans="1:40" ht="14.65" customHeight="1" x14ac:dyDescent="0.25">
      <c r="A134" s="181"/>
      <c r="B134" s="181"/>
      <c r="C134" s="181"/>
      <c r="X134">
        <f t="shared" si="12"/>
        <v>0</v>
      </c>
      <c r="Y134">
        <f>IF(Table9[[#This Row],[Distance from Tip (in)]]&lt;&gt;0, ($E$64)-($F$64)*(X133), 0)</f>
        <v>0</v>
      </c>
      <c r="Z134">
        <f t="shared" si="13"/>
        <v>0</v>
      </c>
      <c r="AA134" s="24">
        <f>IF(AND(Table9[[#This Row],[Distance from Tip (in)2]] &lt;&gt; ROUND($J$16,0),AA133 &lt;&gt;0 ), ($G$68)-($F$68*(Z134-$D$68)),0)</f>
        <v>0</v>
      </c>
      <c r="AC134" s="24"/>
      <c r="AF134"/>
      <c r="AK134">
        <f t="shared" si="14"/>
        <v>0</v>
      </c>
      <c r="AL134">
        <f>IF(Table97[[#This Row],[Distance from Tip (in)]]&lt;&gt;0,($E$56*Table97[[#This Row],[Distance from Tip (in)]])-($G$56*(Table97[[#This Row],[Distance from Tip (in)]]^2)/2), 0)</f>
        <v>0</v>
      </c>
      <c r="AM134">
        <f t="shared" si="15"/>
        <v>0</v>
      </c>
      <c r="AN134" s="24">
        <f>IF(AND(Table97[[#This Row],[Distance from Tip (in)2]] &lt;&gt; ROUND($J$16,0),AN133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5" spans="1:40" x14ac:dyDescent="0.25">
      <c r="X135">
        <f t="shared" si="12"/>
        <v>0</v>
      </c>
      <c r="Y135">
        <f>IF(Table9[[#This Row],[Distance from Tip (in)]]&lt;&gt;0, ($E$64)-($F$64)*(X134), 0)</f>
        <v>0</v>
      </c>
      <c r="Z135">
        <f t="shared" si="13"/>
        <v>0</v>
      </c>
      <c r="AA135" s="24">
        <f>IF(AND(Table9[[#This Row],[Distance from Tip (in)2]] &lt;&gt; ROUND($J$16,0),AA134 &lt;&gt;0 ), ($G$68)-($F$68*(Z135-$D$68)),0)</f>
        <v>0</v>
      </c>
      <c r="AC135" s="24"/>
      <c r="AF135"/>
      <c r="AK135">
        <f t="shared" si="14"/>
        <v>0</v>
      </c>
      <c r="AL135">
        <f>IF(Table97[[#This Row],[Distance from Tip (in)]]&lt;&gt;0,($E$56*Table97[[#This Row],[Distance from Tip (in)]])-($G$56*(Table97[[#This Row],[Distance from Tip (in)]]^2)/2), 0)</f>
        <v>0</v>
      </c>
      <c r="AM135">
        <f t="shared" si="15"/>
        <v>0</v>
      </c>
      <c r="AN135" s="24">
        <f>IF(AND(Table97[[#This Row],[Distance from Tip (in)2]] &lt;&gt; ROUND($J$16,0),AN134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6" spans="1:40" x14ac:dyDescent="0.25">
      <c r="X136">
        <f t="shared" si="12"/>
        <v>0</v>
      </c>
      <c r="Y136">
        <f>IF(Table9[[#This Row],[Distance from Tip (in)]]&lt;&gt;0, ($E$64)-($F$64)*(X135), 0)</f>
        <v>0</v>
      </c>
      <c r="Z136">
        <f t="shared" si="13"/>
        <v>0</v>
      </c>
      <c r="AA136" s="24">
        <f>IF(AND(Table9[[#This Row],[Distance from Tip (in)2]] &lt;&gt; ROUND($J$16,0),AA135 &lt;&gt;0 ), ($G$68)-($F$68*(Z136-$D$68)),0)</f>
        <v>0</v>
      </c>
      <c r="AC136" s="24"/>
      <c r="AF136"/>
      <c r="AK136">
        <f t="shared" si="14"/>
        <v>0</v>
      </c>
      <c r="AL136">
        <f>IF(Table97[[#This Row],[Distance from Tip (in)]]&lt;&gt;0,($E$56*Table97[[#This Row],[Distance from Tip (in)]])-($G$56*(Table97[[#This Row],[Distance from Tip (in)]]^2)/2), 0)</f>
        <v>0</v>
      </c>
      <c r="AM136">
        <f t="shared" si="15"/>
        <v>0</v>
      </c>
      <c r="AN136" s="24">
        <f>IF(AND(Table97[[#This Row],[Distance from Tip (in)2]] &lt;&gt; ROUND($J$16,0),AN135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7" spans="1:40" ht="15" customHeight="1" x14ac:dyDescent="0.25">
      <c r="B137" s="200" t="s">
        <v>186</v>
      </c>
      <c r="C137" s="200"/>
      <c r="D137" s="200"/>
      <c r="E137" s="200"/>
      <c r="F137" s="200"/>
      <c r="G137" s="200"/>
      <c r="H137" s="201" t="s">
        <v>187</v>
      </c>
      <c r="I137" s="201"/>
      <c r="J137" s="201"/>
      <c r="K137" s="201"/>
      <c r="X137">
        <f t="shared" ref="X137:X168" si="16">IF(AND(X136 &lt;&gt; $Z$8, X136 &lt;&gt; 0),X136+1,0)</f>
        <v>0</v>
      </c>
      <c r="Y137">
        <f>IF(Table9[[#This Row],[Distance from Tip (in)]]&lt;&gt;0, ($E$64)-($F$64)*(X136), 0)</f>
        <v>0</v>
      </c>
      <c r="Z137">
        <f t="shared" ref="Z137:Z168" si="17">IF(AND(Z136 &lt;&gt;ROUND( $J$16,0), Z136 &lt;&gt; 0),Z136+1,0)</f>
        <v>0</v>
      </c>
      <c r="AA137" s="24">
        <f>IF(AND(Table9[[#This Row],[Distance from Tip (in)2]] &lt;&gt; ROUND($J$16,0),AA136 &lt;&gt;0 ), ($G$68)-($F$68*(Z137-$D$68)),0)</f>
        <v>0</v>
      </c>
      <c r="AC137" s="24"/>
      <c r="AF137"/>
      <c r="AK137">
        <f t="shared" ref="AK137:AK168" si="18">IF(AND(AK136 &lt;&gt; $Z$8, AK136 &lt;&gt; 0),AK136+1,0)</f>
        <v>0</v>
      </c>
      <c r="AL137">
        <f>IF(Table97[[#This Row],[Distance from Tip (in)]]&lt;&gt;0,($E$56*Table97[[#This Row],[Distance from Tip (in)]])-($G$56*(Table97[[#This Row],[Distance from Tip (in)]]^2)/2), 0)</f>
        <v>0</v>
      </c>
      <c r="AM137">
        <f t="shared" ref="AM137:AM168" si="19">IF(AND(AM136 &lt;&gt;ROUND( $J$16,0), AM136 &lt;&gt; 0),AM136+1,0)</f>
        <v>0</v>
      </c>
      <c r="AN137" s="24">
        <f>IF(AND(Table97[[#This Row],[Distance from Tip (in)2]] &lt;&gt; ROUND($J$16,0),AN136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8" spans="1:40" ht="15" customHeight="1" x14ac:dyDescent="0.25">
      <c r="B138" s="200"/>
      <c r="C138" s="200"/>
      <c r="D138" s="200"/>
      <c r="E138" s="200"/>
      <c r="F138" s="200"/>
      <c r="G138" s="200"/>
      <c r="H138" s="201"/>
      <c r="I138" s="201"/>
      <c r="J138" s="201"/>
      <c r="K138" s="201"/>
      <c r="X138">
        <f t="shared" si="16"/>
        <v>0</v>
      </c>
      <c r="Y138">
        <f>IF(Table9[[#This Row],[Distance from Tip (in)]]&lt;&gt;0, ($E$64)-($F$64)*(X137), 0)</f>
        <v>0</v>
      </c>
      <c r="Z138">
        <f t="shared" si="17"/>
        <v>0</v>
      </c>
      <c r="AA138" s="24">
        <f>IF(AND(Table9[[#This Row],[Distance from Tip (in)2]] &lt;&gt; ROUND($J$16,0),AA137 &lt;&gt;0 ), ($G$68)-($F$68*(Z138-$D$68)),0)</f>
        <v>0</v>
      </c>
      <c r="AC138" s="24"/>
      <c r="AF138"/>
      <c r="AK138">
        <f t="shared" si="18"/>
        <v>0</v>
      </c>
      <c r="AL138">
        <f>IF(Table97[[#This Row],[Distance from Tip (in)]]&lt;&gt;0,($E$56*Table97[[#This Row],[Distance from Tip (in)]])-($G$56*(Table97[[#This Row],[Distance from Tip (in)]]^2)/2), 0)</f>
        <v>0</v>
      </c>
      <c r="AM138">
        <f t="shared" si="19"/>
        <v>0</v>
      </c>
      <c r="AN138" s="24">
        <f>IF(AND(Table97[[#This Row],[Distance from Tip (in)2]] &lt;&gt; ROUND($J$16,0),AN137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39" spans="1:40" x14ac:dyDescent="0.25">
      <c r="X139">
        <f t="shared" si="16"/>
        <v>0</v>
      </c>
      <c r="Y139">
        <f>IF(Table9[[#This Row],[Distance from Tip (in)]]&lt;&gt;0, ($E$64)-($F$64)*(X138), 0)</f>
        <v>0</v>
      </c>
      <c r="Z139">
        <f t="shared" si="17"/>
        <v>0</v>
      </c>
      <c r="AA139" s="24">
        <f>IF(AND(Table9[[#This Row],[Distance from Tip (in)2]] &lt;&gt; ROUND($J$16,0),AA138 &lt;&gt;0 ), ($G$68)-($F$68*(Z139-$D$68)),0)</f>
        <v>0</v>
      </c>
      <c r="AC139" s="24"/>
      <c r="AF139"/>
      <c r="AK139">
        <f t="shared" si="18"/>
        <v>0</v>
      </c>
      <c r="AL139">
        <f>IF(Table97[[#This Row],[Distance from Tip (in)]]&lt;&gt;0,($E$56*Table97[[#This Row],[Distance from Tip (in)]])-($G$56*(Table97[[#This Row],[Distance from Tip (in)]]^2)/2), 0)</f>
        <v>0</v>
      </c>
      <c r="AM139">
        <f t="shared" si="19"/>
        <v>0</v>
      </c>
      <c r="AN139" s="24">
        <f>IF(AND(Table97[[#This Row],[Distance from Tip (in)2]] &lt;&gt; ROUND($J$16,0),AN138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0" spans="1:40" ht="45" x14ac:dyDescent="0.25">
      <c r="B140" s="28" t="s">
        <v>188</v>
      </c>
      <c r="C140" s="28" t="s">
        <v>189</v>
      </c>
      <c r="D140" s="66" t="s">
        <v>190</v>
      </c>
      <c r="E140" s="28" t="s">
        <v>191</v>
      </c>
      <c r="F140" s="28" t="s">
        <v>192</v>
      </c>
      <c r="G140" s="28" t="s">
        <v>193</v>
      </c>
      <c r="H140" s="28" t="s">
        <v>194</v>
      </c>
      <c r="I140" s="28" t="s">
        <v>195</v>
      </c>
      <c r="J140" s="28" t="s">
        <v>196</v>
      </c>
      <c r="K140" s="28" t="s">
        <v>197</v>
      </c>
      <c r="X140">
        <f t="shared" si="16"/>
        <v>0</v>
      </c>
      <c r="Y140">
        <f>IF(Table9[[#This Row],[Distance from Tip (in)]]&lt;&gt;0, ($E$64)-($F$64)*(X139), 0)</f>
        <v>0</v>
      </c>
      <c r="Z140">
        <f t="shared" si="17"/>
        <v>0</v>
      </c>
      <c r="AA140" s="24">
        <f>IF(AND(Table9[[#This Row],[Distance from Tip (in)2]] &lt;&gt; ROUND($J$16,0),AA139 &lt;&gt;0 ), ($G$68)-($F$68*(Z140-$D$68)),0)</f>
        <v>0</v>
      </c>
      <c r="AC140" s="24"/>
      <c r="AF140"/>
      <c r="AK140">
        <f t="shared" si="18"/>
        <v>0</v>
      </c>
      <c r="AL140">
        <f>IF(Table97[[#This Row],[Distance from Tip (in)]]&lt;&gt;0,($E$56*Table97[[#This Row],[Distance from Tip (in)]])-($G$56*(Table97[[#This Row],[Distance from Tip (in)]]^2)/2), 0)</f>
        <v>0</v>
      </c>
      <c r="AM140">
        <f t="shared" si="19"/>
        <v>0</v>
      </c>
      <c r="AN140" s="24">
        <f>IF(AND(Table97[[#This Row],[Distance from Tip (in)2]] &lt;&gt; ROUND($J$16,0),AN139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1" spans="1:40" x14ac:dyDescent="0.25">
      <c r="B141" s="67">
        <v>2.7E-2</v>
      </c>
      <c r="C141" s="67">
        <v>3</v>
      </c>
      <c r="D141" s="68">
        <v>1.5</v>
      </c>
      <c r="E141" s="67">
        <v>1.6</v>
      </c>
      <c r="F141" s="67">
        <v>1.1000000000000001</v>
      </c>
      <c r="G141" s="67">
        <f>H31</f>
        <v>54.588070113635581</v>
      </c>
      <c r="H141" s="27">
        <f>(E141*F3*G16)+(F141*F3*G16)+G141</f>
        <v>361.23894066363562</v>
      </c>
      <c r="I141" s="27">
        <f>B141*C141</f>
        <v>8.1000000000000003E-2</v>
      </c>
      <c r="J141" s="27">
        <f>PI()*(((D141+(I141))^2)-(D141^2))</f>
        <v>0.78401900422252213</v>
      </c>
      <c r="K141" s="27">
        <f>H141/J141</f>
        <v>460.75278624382418</v>
      </c>
      <c r="X141">
        <f t="shared" si="16"/>
        <v>0</v>
      </c>
      <c r="Y141">
        <f>IF(Table9[[#This Row],[Distance from Tip (in)]]&lt;&gt;0, ($E$64)-($F$64)*(X140), 0)</f>
        <v>0</v>
      </c>
      <c r="Z141">
        <f t="shared" si="17"/>
        <v>0</v>
      </c>
      <c r="AA141" s="24">
        <f>IF(AND(Table9[[#This Row],[Distance from Tip (in)2]] &lt;&gt; ROUND($J$16,0),AA140 &lt;&gt;0 ), ($G$68)-($F$68*(Z141-$D$68)),0)</f>
        <v>0</v>
      </c>
      <c r="AC141" s="24"/>
      <c r="AF141"/>
      <c r="AK141">
        <f t="shared" si="18"/>
        <v>0</v>
      </c>
      <c r="AL141">
        <f>IF(Table97[[#This Row],[Distance from Tip (in)]]&lt;&gt;0,($E$56*Table97[[#This Row],[Distance from Tip (in)]])-($G$56*(Table97[[#This Row],[Distance from Tip (in)]]^2)/2), 0)</f>
        <v>0</v>
      </c>
      <c r="AM141">
        <f t="shared" si="19"/>
        <v>0</v>
      </c>
      <c r="AN141" s="24">
        <f>IF(AND(Table97[[#This Row],[Distance from Tip (in)2]] &lt;&gt; ROUND($J$16,0),AN140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2" spans="1:40" x14ac:dyDescent="0.25">
      <c r="X142">
        <f t="shared" si="16"/>
        <v>0</v>
      </c>
      <c r="Y142">
        <f>IF(Table9[[#This Row],[Distance from Tip (in)]]&lt;&gt;0, ($E$64)-($F$64)*(X141), 0)</f>
        <v>0</v>
      </c>
      <c r="Z142">
        <f t="shared" si="17"/>
        <v>0</v>
      </c>
      <c r="AA142" s="24">
        <f>IF(AND(Table9[[#This Row],[Distance from Tip (in)2]] &lt;&gt; ROUND($J$16,0),AA141 &lt;&gt;0 ), ($G$68)-($F$68*(Z142-$D$68)),0)</f>
        <v>0</v>
      </c>
      <c r="AC142" s="24"/>
      <c r="AF142"/>
      <c r="AK142">
        <f t="shared" si="18"/>
        <v>0</v>
      </c>
      <c r="AL142">
        <f>IF(Table97[[#This Row],[Distance from Tip (in)]]&lt;&gt;0,($E$56*Table97[[#This Row],[Distance from Tip (in)]])-($G$56*(Table97[[#This Row],[Distance from Tip (in)]]^2)/2), 0)</f>
        <v>0</v>
      </c>
      <c r="AM142">
        <f t="shared" si="19"/>
        <v>0</v>
      </c>
      <c r="AN142" s="24">
        <f>IF(AND(Table97[[#This Row],[Distance from Tip (in)2]] &lt;&gt; ROUND($J$16,0),AN141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3" spans="1:40" ht="63" customHeight="1" x14ac:dyDescent="0.25">
      <c r="B143" s="24" t="s">
        <v>198</v>
      </c>
      <c r="J143" s="131"/>
      <c r="X143">
        <f t="shared" si="16"/>
        <v>0</v>
      </c>
      <c r="Y143">
        <f>IF(Table9[[#This Row],[Distance from Tip (in)]]&lt;&gt;0, ($E$64)-($F$64)*(X142), 0)</f>
        <v>0</v>
      </c>
      <c r="Z143">
        <f t="shared" si="17"/>
        <v>0</v>
      </c>
      <c r="AA143" s="24">
        <f>IF(AND(Table9[[#This Row],[Distance from Tip (in)2]] &lt;&gt; ROUND($J$16,0),AA142 &lt;&gt;0 ), ($G$68)-($F$68*(Z143-$D$68)),0)</f>
        <v>0</v>
      </c>
      <c r="AC143" s="24"/>
      <c r="AF143"/>
      <c r="AK143">
        <f t="shared" si="18"/>
        <v>0</v>
      </c>
      <c r="AL143">
        <f>IF(Table97[[#This Row],[Distance from Tip (in)]]&lt;&gt;0,($E$56*Table97[[#This Row],[Distance from Tip (in)]])-($G$56*(Table97[[#This Row],[Distance from Tip (in)]]^2)/2), 0)</f>
        <v>0</v>
      </c>
      <c r="AM143">
        <f t="shared" si="19"/>
        <v>0</v>
      </c>
      <c r="AN143" s="24">
        <f>IF(AND(Table97[[#This Row],[Distance from Tip (in)2]] &lt;&gt; ROUND($J$16,0),AN142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4" spans="1:40" x14ac:dyDescent="0.25">
      <c r="X144">
        <f t="shared" si="16"/>
        <v>0</v>
      </c>
      <c r="Y144">
        <f>IF(Table9[[#This Row],[Distance from Tip (in)]]&lt;&gt;0, ($E$64)-($F$64)*(X143), 0)</f>
        <v>0</v>
      </c>
      <c r="Z144">
        <f t="shared" si="17"/>
        <v>0</v>
      </c>
      <c r="AA144" s="24">
        <f>IF(AND(Table9[[#This Row],[Distance from Tip (in)2]] &lt;&gt; ROUND($J$16,0),AA143 &lt;&gt;0 ), ($G$68)-($F$68*(Z144-$D$68)),0)</f>
        <v>0</v>
      </c>
      <c r="AC144" s="24"/>
      <c r="AF144"/>
      <c r="AK144">
        <f t="shared" si="18"/>
        <v>0</v>
      </c>
      <c r="AL144">
        <f>IF(Table97[[#This Row],[Distance from Tip (in)]]&lt;&gt;0,($E$56*Table97[[#This Row],[Distance from Tip (in)]])-($G$56*(Table97[[#This Row],[Distance from Tip (in)]]^2)/2), 0)</f>
        <v>0</v>
      </c>
      <c r="AM144">
        <f t="shared" si="19"/>
        <v>0</v>
      </c>
      <c r="AN144" s="24">
        <f>IF(AND(Table97[[#This Row],[Distance from Tip (in)2]] &lt;&gt; ROUND($J$16,0),AN143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5" spans="2:40" x14ac:dyDescent="0.25">
      <c r="X145">
        <f t="shared" si="16"/>
        <v>0</v>
      </c>
      <c r="Y145">
        <f>IF(Table9[[#This Row],[Distance from Tip (in)]]&lt;&gt;0, ($E$64)-($F$64)*(X144), 0)</f>
        <v>0</v>
      </c>
      <c r="Z145">
        <f t="shared" si="17"/>
        <v>0</v>
      </c>
      <c r="AA145" s="24">
        <f>IF(AND(Table9[[#This Row],[Distance from Tip (in)2]] &lt;&gt; ROUND($J$16,0),AA144 &lt;&gt;0 ), ($G$68)-($F$68*(Z145-$D$68)),0)</f>
        <v>0</v>
      </c>
      <c r="AC145" s="24"/>
      <c r="AF145"/>
      <c r="AK145">
        <f t="shared" si="18"/>
        <v>0</v>
      </c>
      <c r="AL145">
        <f>IF(Table97[[#This Row],[Distance from Tip (in)]]&lt;&gt;0,($E$56*Table97[[#This Row],[Distance from Tip (in)]])-($G$56*(Table97[[#This Row],[Distance from Tip (in)]]^2)/2), 0)</f>
        <v>0</v>
      </c>
      <c r="AM145">
        <f t="shared" si="19"/>
        <v>0</v>
      </c>
      <c r="AN145" s="24">
        <f>IF(AND(Table97[[#This Row],[Distance from Tip (in)2]] &lt;&gt; ROUND($J$16,0),AN144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6" spans="2:40" x14ac:dyDescent="0.25">
      <c r="I146" s="24" t="s">
        <v>521</v>
      </c>
      <c r="J146" s="24" t="s">
        <v>334</v>
      </c>
      <c r="K146" s="24" t="s">
        <v>522</v>
      </c>
      <c r="X146">
        <f t="shared" si="16"/>
        <v>0</v>
      </c>
      <c r="Y146">
        <f>IF(Table9[[#This Row],[Distance from Tip (in)]]&lt;&gt;0, ($E$64)-($F$64)*(X145), 0)</f>
        <v>0</v>
      </c>
      <c r="Z146">
        <f t="shared" si="17"/>
        <v>0</v>
      </c>
      <c r="AA146" s="24">
        <f>IF(AND(Table9[[#This Row],[Distance from Tip (in)2]] &lt;&gt; ROUND($J$16,0),AA145 &lt;&gt;0 ), ($G$68)-($F$68*(Z146-$D$68)),0)</f>
        <v>0</v>
      </c>
      <c r="AC146" s="24"/>
      <c r="AF146"/>
      <c r="AK146">
        <f t="shared" si="18"/>
        <v>0</v>
      </c>
      <c r="AL146">
        <f>IF(Table97[[#This Row],[Distance from Tip (in)]]&lt;&gt;0,($E$56*Table97[[#This Row],[Distance from Tip (in)]])-($G$56*(Table97[[#This Row],[Distance from Tip (in)]]^2)/2), 0)</f>
        <v>0</v>
      </c>
      <c r="AM146">
        <f t="shared" si="19"/>
        <v>0</v>
      </c>
      <c r="AN146" s="24">
        <f>IF(AND(Table97[[#This Row],[Distance from Tip (in)2]] &lt;&gt; ROUND($J$16,0),AN145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7" spans="2:40" ht="30" x14ac:dyDescent="0.25">
      <c r="B147" s="24" t="s">
        <v>520</v>
      </c>
      <c r="I147" s="24">
        <v>6</v>
      </c>
      <c r="J147" s="24">
        <v>1.0999999999999999E-2</v>
      </c>
      <c r="K147" s="24">
        <v>8</v>
      </c>
      <c r="X147">
        <f t="shared" si="16"/>
        <v>0</v>
      </c>
      <c r="Y147">
        <f>IF(Table9[[#This Row],[Distance from Tip (in)]]&lt;&gt;0, ($E$64)-($F$64)*(X146), 0)</f>
        <v>0</v>
      </c>
      <c r="Z147">
        <f t="shared" si="17"/>
        <v>0</v>
      </c>
      <c r="AA147" s="24">
        <f>IF(AND(Table9[[#This Row],[Distance from Tip (in)2]] &lt;&gt; ROUND($J$16,0),AA146 &lt;&gt;0 ), ($G$68)-($F$68*(Z147-$D$68)),0)</f>
        <v>0</v>
      </c>
      <c r="AC147" s="24"/>
      <c r="AF147"/>
      <c r="AK147">
        <f t="shared" si="18"/>
        <v>0</v>
      </c>
      <c r="AL147">
        <f>IF(Table97[[#This Row],[Distance from Tip (in)]]&lt;&gt;0,($E$56*Table97[[#This Row],[Distance from Tip (in)]])-($G$56*(Table97[[#This Row],[Distance from Tip (in)]]^2)/2), 0)</f>
        <v>0</v>
      </c>
      <c r="AM147">
        <f t="shared" si="19"/>
        <v>0</v>
      </c>
      <c r="AN147" s="24">
        <f>IF(AND(Table97[[#This Row],[Distance from Tip (in)2]] &lt;&gt; ROUND($J$16,0),AN146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8" spans="2:40" x14ac:dyDescent="0.25">
      <c r="B148" s="24">
        <f>(0.5*H5)-(((H5^4)/8)-((G5^4)/16))^0.25</f>
        <v>0.13970370899713336</v>
      </c>
      <c r="X148">
        <f t="shared" si="16"/>
        <v>0</v>
      </c>
      <c r="Y148">
        <f>IF(Table9[[#This Row],[Distance from Tip (in)]]&lt;&gt;0, ($E$64)-($F$64)*(X147), 0)</f>
        <v>0</v>
      </c>
      <c r="Z148">
        <f t="shared" si="17"/>
        <v>0</v>
      </c>
      <c r="AA148" s="24">
        <f>IF(AND(Table9[[#This Row],[Distance from Tip (in)2]] &lt;&gt; ROUND($J$16,0),AA147 &lt;&gt;0 ), ($G$68)-($F$68*(Z148-$D$68)),0)</f>
        <v>0</v>
      </c>
      <c r="AC148" s="24"/>
      <c r="AF148"/>
      <c r="AK148">
        <f t="shared" si="18"/>
        <v>0</v>
      </c>
      <c r="AL148">
        <f>IF(Table97[[#This Row],[Distance from Tip (in)]]&lt;&gt;0,($E$56*Table97[[#This Row],[Distance from Tip (in)]])-($G$56*(Table97[[#This Row],[Distance from Tip (in)]]^2)/2), 0)</f>
        <v>0</v>
      </c>
      <c r="AM148">
        <f t="shared" si="19"/>
        <v>0</v>
      </c>
      <c r="AN148" s="24">
        <f>IF(AND(Table97[[#This Row],[Distance from Tip (in)2]] &lt;&gt; ROUND($J$16,0),AN147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49" spans="2:40" ht="30" x14ac:dyDescent="0.25">
      <c r="I149" s="24" t="s">
        <v>523</v>
      </c>
      <c r="J149" s="24" t="s">
        <v>524</v>
      </c>
      <c r="K149" s="24" t="s">
        <v>336</v>
      </c>
      <c r="L149" s="24" t="s">
        <v>520</v>
      </c>
      <c r="M149" s="24" t="s">
        <v>38</v>
      </c>
      <c r="N149" s="24" t="s">
        <v>525</v>
      </c>
      <c r="O149" s="24" t="s">
        <v>526</v>
      </c>
      <c r="P149" s="24" t="s">
        <v>529</v>
      </c>
      <c r="Q149" s="24" t="s">
        <v>528</v>
      </c>
      <c r="R149" s="24" t="s">
        <v>527</v>
      </c>
      <c r="X149">
        <f t="shared" si="16"/>
        <v>0</v>
      </c>
      <c r="Y149">
        <f>IF(Table9[[#This Row],[Distance from Tip (in)]]&lt;&gt;0, ($E$64)-($F$64)*(X148), 0)</f>
        <v>0</v>
      </c>
      <c r="Z149">
        <f t="shared" si="17"/>
        <v>0</v>
      </c>
      <c r="AA149" s="24">
        <f>IF(AND(Table9[[#This Row],[Distance from Tip (in)2]] &lt;&gt; ROUND($J$16,0),AA148 &lt;&gt;0 ), ($G$68)-($F$68*(Z149-$D$68)),0)</f>
        <v>0</v>
      </c>
      <c r="AC149" s="24"/>
      <c r="AF149"/>
      <c r="AK149">
        <f t="shared" si="18"/>
        <v>0</v>
      </c>
      <c r="AL149">
        <f>IF(Table97[[#This Row],[Distance from Tip (in)]]&lt;&gt;0,($E$56*Table97[[#This Row],[Distance from Tip (in)]])-($G$56*(Table97[[#This Row],[Distance from Tip (in)]]^2)/2), 0)</f>
        <v>0</v>
      </c>
      <c r="AM149">
        <f t="shared" si="19"/>
        <v>0</v>
      </c>
      <c r="AN149" s="24">
        <f>IF(AND(Table97[[#This Row],[Distance from Tip (in)2]] &lt;&gt; ROUND($J$16,0),AN148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0" spans="2:40" x14ac:dyDescent="0.25">
      <c r="I150" s="24">
        <v>0</v>
      </c>
      <c r="J150" s="24">
        <f>($I$147-($J$147*I150))</f>
        <v>6</v>
      </c>
      <c r="K150" s="24">
        <f>J150*PI()</f>
        <v>18.849555921538759</v>
      </c>
      <c r="L150" s="24">
        <f>J147*6</f>
        <v>6.6000000000000003E-2</v>
      </c>
      <c r="M150" s="24">
        <f>SUM(Table18[Circumference])</f>
        <v>168.40193260302726</v>
      </c>
      <c r="N150" s="24">
        <f>M150*0.02777778</f>
        <v>4.6778318354217188</v>
      </c>
      <c r="O150" s="24">
        <v>39.4</v>
      </c>
      <c r="P150" s="24">
        <v>14</v>
      </c>
      <c r="Q150" s="24">
        <v>1.25</v>
      </c>
      <c r="R150" s="24">
        <f>O150/(P150*Q150)</f>
        <v>2.2514285714285713</v>
      </c>
      <c r="X150">
        <f t="shared" si="16"/>
        <v>0</v>
      </c>
      <c r="Y150">
        <f>IF(Table9[[#This Row],[Distance from Tip (in)]]&lt;&gt;0, ($E$64)-($F$64)*(X149), 0)</f>
        <v>0</v>
      </c>
      <c r="Z150">
        <f t="shared" si="17"/>
        <v>0</v>
      </c>
      <c r="AA150" s="24">
        <f>IF(AND(Table9[[#This Row],[Distance from Tip (in)2]] &lt;&gt; ROUND($J$16,0),AA149 &lt;&gt;0 ), ($G$68)-($F$68*(Z150-$D$68)),0)</f>
        <v>0</v>
      </c>
      <c r="AC150" s="24"/>
      <c r="AF150"/>
      <c r="AK150">
        <f t="shared" si="18"/>
        <v>0</v>
      </c>
      <c r="AL150">
        <f>IF(Table97[[#This Row],[Distance from Tip (in)]]&lt;&gt;0,($E$56*Table97[[#This Row],[Distance from Tip (in)]])-($G$56*(Table97[[#This Row],[Distance from Tip (in)]]^2)/2), 0)</f>
        <v>0</v>
      </c>
      <c r="AM150">
        <f t="shared" si="19"/>
        <v>0</v>
      </c>
      <c r="AN150" s="24">
        <f>IF(AND(Table97[[#This Row],[Distance from Tip (in)2]] &lt;&gt; ROUND($J$16,0),AN149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1" spans="2:40" x14ac:dyDescent="0.25">
      <c r="I151" s="24">
        <v>1</v>
      </c>
      <c r="J151" s="24">
        <f>($I$147-($J$147*I151))</f>
        <v>5.9889999999999999</v>
      </c>
      <c r="K151" s="24">
        <f t="shared" ref="K151:K160" si="20">J151*PI()</f>
        <v>18.814998402349271</v>
      </c>
      <c r="X151">
        <f t="shared" si="16"/>
        <v>0</v>
      </c>
      <c r="Y151">
        <f>IF(Table9[[#This Row],[Distance from Tip (in)]]&lt;&gt;0, ($E$64)-($F$64)*(X150), 0)</f>
        <v>0</v>
      </c>
      <c r="Z151">
        <f t="shared" si="17"/>
        <v>0</v>
      </c>
      <c r="AA151" s="24">
        <f>IF(AND(Table9[[#This Row],[Distance from Tip (in)2]] &lt;&gt; ROUND($J$16,0),AA150 &lt;&gt;0 ), ($G$68)-($F$68*(Z151-$D$68)),0)</f>
        <v>0</v>
      </c>
      <c r="AC151" s="24"/>
      <c r="AF151"/>
      <c r="AK151">
        <f t="shared" si="18"/>
        <v>0</v>
      </c>
      <c r="AL151">
        <f>IF(Table97[[#This Row],[Distance from Tip (in)]]&lt;&gt;0,($E$56*Table97[[#This Row],[Distance from Tip (in)]])-($G$56*(Table97[[#This Row],[Distance from Tip (in)]]^2)/2), 0)</f>
        <v>0</v>
      </c>
      <c r="AM151">
        <f t="shared" si="19"/>
        <v>0</v>
      </c>
      <c r="AN151" s="24">
        <f>IF(AND(Table97[[#This Row],[Distance from Tip (in)2]] &lt;&gt; ROUND($J$16,0),AN150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2" spans="2:40" x14ac:dyDescent="0.25">
      <c r="I152" s="24">
        <v>2</v>
      </c>
      <c r="J152" s="24">
        <f>($I$147-($J$147*I152))</f>
        <v>5.9779999999999998</v>
      </c>
      <c r="K152" s="24">
        <f t="shared" si="20"/>
        <v>18.780440883159784</v>
      </c>
      <c r="X152">
        <f t="shared" si="16"/>
        <v>0</v>
      </c>
      <c r="Y152">
        <f>IF(Table9[[#This Row],[Distance from Tip (in)]]&lt;&gt;0, ($E$64)-($F$64)*(X151), 0)</f>
        <v>0</v>
      </c>
      <c r="Z152">
        <f t="shared" si="17"/>
        <v>0</v>
      </c>
      <c r="AA152" s="24">
        <f>IF(AND(Table9[[#This Row],[Distance from Tip (in)2]] &lt;&gt; ROUND($J$16,0),AA151 &lt;&gt;0 ), ($G$68)-($F$68*(Z152-$D$68)),0)</f>
        <v>0</v>
      </c>
      <c r="AC152" s="24"/>
      <c r="AF152"/>
      <c r="AK152">
        <f t="shared" si="18"/>
        <v>0</v>
      </c>
      <c r="AL152">
        <f>IF(Table97[[#This Row],[Distance from Tip (in)]]&lt;&gt;0,($E$56*Table97[[#This Row],[Distance from Tip (in)]])-($G$56*(Table97[[#This Row],[Distance from Tip (in)]]^2)/2), 0)</f>
        <v>0</v>
      </c>
      <c r="AM152">
        <f t="shared" si="19"/>
        <v>0</v>
      </c>
      <c r="AN152" s="24">
        <f>IF(AND(Table97[[#This Row],[Distance from Tip (in)2]] &lt;&gt; ROUND($J$16,0),AN151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3" spans="2:40" ht="30" x14ac:dyDescent="0.25">
      <c r="I153" s="24">
        <v>3</v>
      </c>
      <c r="J153" s="24">
        <f>($I$147-($J$147*I153))</f>
        <v>5.9669999999999996</v>
      </c>
      <c r="K153" s="24">
        <f t="shared" si="20"/>
        <v>18.745883363970293</v>
      </c>
      <c r="M153" s="24" t="s">
        <v>530</v>
      </c>
      <c r="N153" s="24" t="s">
        <v>531</v>
      </c>
      <c r="O153" s="24" t="s">
        <v>534</v>
      </c>
      <c r="P153" s="24" t="s">
        <v>533</v>
      </c>
      <c r="Q153" s="24" t="s">
        <v>532</v>
      </c>
      <c r="X153">
        <f t="shared" si="16"/>
        <v>0</v>
      </c>
      <c r="Y153">
        <f>IF(Table9[[#This Row],[Distance from Tip (in)]]&lt;&gt;0, ($E$64)-($F$64)*(X152), 0)</f>
        <v>0</v>
      </c>
      <c r="Z153">
        <f t="shared" si="17"/>
        <v>0</v>
      </c>
      <c r="AA153" s="24">
        <f>IF(AND(Table9[[#This Row],[Distance from Tip (in)2]] &lt;&gt; ROUND($J$16,0),AA152 &lt;&gt;0 ), ($G$68)-($F$68*(Z153-$D$68)),0)</f>
        <v>0</v>
      </c>
      <c r="AC153" s="24"/>
      <c r="AF153"/>
      <c r="AK153">
        <f t="shared" si="18"/>
        <v>0</v>
      </c>
      <c r="AL153">
        <f>IF(Table97[[#This Row],[Distance from Tip (in)]]&lt;&gt;0,($E$56*Table97[[#This Row],[Distance from Tip (in)]])-($G$56*(Table97[[#This Row],[Distance from Tip (in)]]^2)/2), 0)</f>
        <v>0</v>
      </c>
      <c r="AM153">
        <f t="shared" si="19"/>
        <v>0</v>
      </c>
      <c r="AN153" s="24">
        <f>IF(AND(Table97[[#This Row],[Distance from Tip (in)2]] &lt;&gt; ROUND($J$16,0),AN152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4" spans="2:40" x14ac:dyDescent="0.25">
      <c r="I154" s="24">
        <v>4</v>
      </c>
      <c r="J154" s="24">
        <f t="shared" ref="J154:J158" si="21">($I$147-($J$147*I154))</f>
        <v>5.9560000000000004</v>
      </c>
      <c r="K154" s="24">
        <f t="shared" si="20"/>
        <v>18.711325844780809</v>
      </c>
      <c r="M154" s="24">
        <v>4</v>
      </c>
      <c r="N154" s="24">
        <f>M154/2*(N150)</f>
        <v>9.3556636708434375</v>
      </c>
      <c r="O154" s="24">
        <f>ROUNDDOWN(N154,0)</f>
        <v>9</v>
      </c>
      <c r="P154" s="24">
        <v>62.39</v>
      </c>
      <c r="Q154" s="148">
        <f>O154*P154</f>
        <v>561.51</v>
      </c>
      <c r="X154">
        <f t="shared" si="16"/>
        <v>0</v>
      </c>
      <c r="Y154">
        <f>IF(Table9[[#This Row],[Distance from Tip (in)]]&lt;&gt;0, ($E$64)-($F$64)*(X153), 0)</f>
        <v>0</v>
      </c>
      <c r="Z154">
        <f t="shared" si="17"/>
        <v>0</v>
      </c>
      <c r="AA154" s="24">
        <f>IF(AND(Table9[[#This Row],[Distance from Tip (in)2]] &lt;&gt; ROUND($J$16,0),AA153 &lt;&gt;0 ), ($G$68)-($F$68*(Z154-$D$68)),0)</f>
        <v>0</v>
      </c>
      <c r="AC154" s="24"/>
      <c r="AF154"/>
      <c r="AK154">
        <f t="shared" si="18"/>
        <v>0</v>
      </c>
      <c r="AL154">
        <f>IF(Table97[[#This Row],[Distance from Tip (in)]]&lt;&gt;0,($E$56*Table97[[#This Row],[Distance from Tip (in)]])-($G$56*(Table97[[#This Row],[Distance from Tip (in)]]^2)/2), 0)</f>
        <v>0</v>
      </c>
      <c r="AM154">
        <f t="shared" si="19"/>
        <v>0</v>
      </c>
      <c r="AN154" s="24">
        <f>IF(AND(Table97[[#This Row],[Distance from Tip (in)2]] &lt;&gt; ROUND($J$16,0),AN153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5" spans="2:40" x14ac:dyDescent="0.25">
      <c r="I155" s="24">
        <v>5</v>
      </c>
      <c r="J155" s="24">
        <f t="shared" si="21"/>
        <v>5.9450000000000003</v>
      </c>
      <c r="K155" s="24">
        <f t="shared" si="20"/>
        <v>18.676768325591322</v>
      </c>
      <c r="X155">
        <f t="shared" si="16"/>
        <v>0</v>
      </c>
      <c r="Y155">
        <f>IF(Table9[[#This Row],[Distance from Tip (in)]]&lt;&gt;0, ($E$64)-($F$64)*(X154), 0)</f>
        <v>0</v>
      </c>
      <c r="Z155">
        <f t="shared" si="17"/>
        <v>0</v>
      </c>
      <c r="AA155" s="24">
        <f>IF(AND(Table9[[#This Row],[Distance from Tip (in)2]] &lt;&gt; ROUND($J$16,0),AA154 &lt;&gt;0 ), ($G$68)-($F$68*(Z155-$D$68)),0)</f>
        <v>0</v>
      </c>
      <c r="AC155" s="24"/>
      <c r="AF155"/>
      <c r="AK155">
        <f t="shared" si="18"/>
        <v>0</v>
      </c>
      <c r="AL155">
        <f>IF(Table97[[#This Row],[Distance from Tip (in)]]&lt;&gt;0,($E$56*Table97[[#This Row],[Distance from Tip (in)]])-($G$56*(Table97[[#This Row],[Distance from Tip (in)]]^2)/2), 0)</f>
        <v>0</v>
      </c>
      <c r="AM155">
        <f t="shared" si="19"/>
        <v>0</v>
      </c>
      <c r="AN155" s="24">
        <f>IF(AND(Table97[[#This Row],[Distance from Tip (in)2]] &lt;&gt; ROUND($J$16,0),AN154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6" spans="2:40" x14ac:dyDescent="0.25">
      <c r="I156" s="24">
        <v>6</v>
      </c>
      <c r="J156" s="24">
        <f t="shared" si="21"/>
        <v>5.9340000000000002</v>
      </c>
      <c r="K156" s="24">
        <f t="shared" si="20"/>
        <v>18.642210806401835</v>
      </c>
      <c r="X156">
        <f t="shared" si="16"/>
        <v>0</v>
      </c>
      <c r="Y156">
        <f>IF(Table9[[#This Row],[Distance from Tip (in)]]&lt;&gt;0, ($E$64)-($F$64)*(X155), 0)</f>
        <v>0</v>
      </c>
      <c r="Z156">
        <f t="shared" si="17"/>
        <v>0</v>
      </c>
      <c r="AA156" s="24">
        <f>IF(AND(Table9[[#This Row],[Distance from Tip (in)2]] &lt;&gt; ROUND($J$16,0),AA155 &lt;&gt;0 ), ($G$68)-($F$68*(Z156-$D$68)),0)</f>
        <v>0</v>
      </c>
      <c r="AC156" s="24"/>
      <c r="AF156"/>
      <c r="AK156">
        <f t="shared" si="18"/>
        <v>0</v>
      </c>
      <c r="AL156">
        <f>IF(Table97[[#This Row],[Distance from Tip (in)]]&lt;&gt;0,($E$56*Table97[[#This Row],[Distance from Tip (in)]])-($G$56*(Table97[[#This Row],[Distance from Tip (in)]]^2)/2), 0)</f>
        <v>0</v>
      </c>
      <c r="AM156">
        <f t="shared" si="19"/>
        <v>0</v>
      </c>
      <c r="AN156" s="24">
        <f>IF(AND(Table97[[#This Row],[Distance from Tip (in)2]] &lt;&gt; ROUND($J$16,0),AN155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7" spans="2:40" x14ac:dyDescent="0.25">
      <c r="I157" s="24">
        <v>7</v>
      </c>
      <c r="J157" s="24">
        <f t="shared" si="21"/>
        <v>5.923</v>
      </c>
      <c r="K157" s="24">
        <f t="shared" si="20"/>
        <v>18.607653287212344</v>
      </c>
      <c r="X157">
        <f t="shared" si="16"/>
        <v>0</v>
      </c>
      <c r="Y157">
        <f>IF(Table9[[#This Row],[Distance from Tip (in)]]&lt;&gt;0, ($E$64)-($F$64)*(X156), 0)</f>
        <v>0</v>
      </c>
      <c r="Z157">
        <f t="shared" si="17"/>
        <v>0</v>
      </c>
      <c r="AA157" s="24">
        <f>IF(AND(Table9[[#This Row],[Distance from Tip (in)2]] &lt;&gt; ROUND($J$16,0),AA156 &lt;&gt;0 ), ($G$68)-($F$68*(Z157-$D$68)),0)</f>
        <v>0</v>
      </c>
      <c r="AC157" s="24"/>
      <c r="AF157"/>
      <c r="AK157">
        <f t="shared" si="18"/>
        <v>0</v>
      </c>
      <c r="AL157">
        <f>IF(Table97[[#This Row],[Distance from Tip (in)]]&lt;&gt;0,($E$56*Table97[[#This Row],[Distance from Tip (in)]])-($G$56*(Table97[[#This Row],[Distance from Tip (in)]]^2)/2), 0)</f>
        <v>0</v>
      </c>
      <c r="AM157">
        <f t="shared" si="19"/>
        <v>0</v>
      </c>
      <c r="AN157" s="24">
        <f>IF(AND(Table97[[#This Row],[Distance from Tip (in)2]] &lt;&gt; ROUND($J$16,0),AN156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8" spans="2:40" x14ac:dyDescent="0.25">
      <c r="I158" s="24">
        <v>8</v>
      </c>
      <c r="J158" s="24">
        <f t="shared" si="21"/>
        <v>5.9119999999999999</v>
      </c>
      <c r="K158" s="24">
        <f t="shared" si="20"/>
        <v>18.573095768022856</v>
      </c>
      <c r="X158">
        <f t="shared" si="16"/>
        <v>0</v>
      </c>
      <c r="Y158">
        <f>IF(Table9[[#This Row],[Distance from Tip (in)]]&lt;&gt;0, ($E$64)-($F$64)*(X157), 0)</f>
        <v>0</v>
      </c>
      <c r="Z158">
        <f t="shared" si="17"/>
        <v>0</v>
      </c>
      <c r="AA158" s="24">
        <f>IF(AND(Table9[[#This Row],[Distance from Tip (in)2]] &lt;&gt; ROUND($J$16,0),AA157 &lt;&gt;0 ), ($G$68)-($F$68*(Z158-$D$68)),0)</f>
        <v>0</v>
      </c>
      <c r="AC158" s="24"/>
      <c r="AF158"/>
      <c r="AK158">
        <f t="shared" si="18"/>
        <v>0</v>
      </c>
      <c r="AL158">
        <f>IF(Table97[[#This Row],[Distance from Tip (in)]]&lt;&gt;0,($E$56*Table97[[#This Row],[Distance from Tip (in)]])-($G$56*(Table97[[#This Row],[Distance from Tip (in)]]^2)/2), 0)</f>
        <v>0</v>
      </c>
      <c r="AM158">
        <f t="shared" si="19"/>
        <v>0</v>
      </c>
      <c r="AN158" s="24">
        <f>IF(AND(Table97[[#This Row],[Distance from Tip (in)2]] &lt;&gt; ROUND($J$16,0),AN157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59" spans="2:40" x14ac:dyDescent="0.25">
      <c r="I159" s="24">
        <v>0</v>
      </c>
      <c r="K159" s="24">
        <f t="shared" si="20"/>
        <v>0</v>
      </c>
      <c r="X159">
        <f t="shared" si="16"/>
        <v>0</v>
      </c>
      <c r="Y159">
        <f>IF(Table9[[#This Row],[Distance from Tip (in)]]&lt;&gt;0, ($E$64)-($F$64)*(X158), 0)</f>
        <v>0</v>
      </c>
      <c r="Z159">
        <f t="shared" si="17"/>
        <v>0</v>
      </c>
      <c r="AA159" s="24">
        <f>IF(AND(Table9[[#This Row],[Distance from Tip (in)2]] &lt;&gt; ROUND($J$16,0),AA158 &lt;&gt;0 ), ($G$68)-($F$68*(Z159-$D$68)),0)</f>
        <v>0</v>
      </c>
      <c r="AC159" s="24"/>
      <c r="AF159"/>
      <c r="AK159">
        <f t="shared" si="18"/>
        <v>0</v>
      </c>
      <c r="AL159">
        <f>IF(Table97[[#This Row],[Distance from Tip (in)]]&lt;&gt;0,($E$56*Table97[[#This Row],[Distance from Tip (in)]])-($G$56*(Table97[[#This Row],[Distance from Tip (in)]]^2)/2), 0)</f>
        <v>0</v>
      </c>
      <c r="AM159">
        <f t="shared" si="19"/>
        <v>0</v>
      </c>
      <c r="AN159" s="24">
        <f>IF(AND(Table97[[#This Row],[Distance from Tip (in)2]] &lt;&gt; ROUND($J$16,0),AN158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0" spans="2:40" x14ac:dyDescent="0.25">
      <c r="I160" s="24">
        <v>0</v>
      </c>
      <c r="K160" s="24">
        <f t="shared" si="20"/>
        <v>0</v>
      </c>
      <c r="X160">
        <f t="shared" si="16"/>
        <v>0</v>
      </c>
      <c r="Y160">
        <f>IF(Table9[[#This Row],[Distance from Tip (in)]]&lt;&gt;0, ($E$64)-($F$64)*(X159), 0)</f>
        <v>0</v>
      </c>
      <c r="Z160">
        <f t="shared" si="17"/>
        <v>0</v>
      </c>
      <c r="AA160" s="24">
        <f>IF(AND(Table9[[#This Row],[Distance from Tip (in)2]] &lt;&gt; ROUND($J$16,0),AA159 &lt;&gt;0 ), ($G$68)-($F$68*(Z160-$D$68)),0)</f>
        <v>0</v>
      </c>
      <c r="AC160" s="24"/>
      <c r="AF160"/>
      <c r="AK160">
        <f t="shared" si="18"/>
        <v>0</v>
      </c>
      <c r="AL160">
        <f>IF(Table97[[#This Row],[Distance from Tip (in)]]&lt;&gt;0,($E$56*Table97[[#This Row],[Distance from Tip (in)]])-($G$56*(Table97[[#This Row],[Distance from Tip (in)]]^2)/2), 0)</f>
        <v>0</v>
      </c>
      <c r="AM160">
        <f t="shared" si="19"/>
        <v>0</v>
      </c>
      <c r="AN160" s="24">
        <f>IF(AND(Table97[[#This Row],[Distance from Tip (in)2]] &lt;&gt; ROUND($J$16,0),AN159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1" spans="24:40" x14ac:dyDescent="0.25">
      <c r="X161">
        <f t="shared" si="16"/>
        <v>0</v>
      </c>
      <c r="Y161">
        <f>IF(Table9[[#This Row],[Distance from Tip (in)]]&lt;&gt;0, ($E$64)-($F$64)*(X160), 0)</f>
        <v>0</v>
      </c>
      <c r="Z161">
        <f t="shared" si="17"/>
        <v>0</v>
      </c>
      <c r="AA161" s="24">
        <f>IF(AND(Table9[[#This Row],[Distance from Tip (in)2]] &lt;&gt; ROUND($J$16,0),AA160 &lt;&gt;0 ), ($G$68)-($F$68*(Z161-$D$68)),0)</f>
        <v>0</v>
      </c>
      <c r="AC161" s="24"/>
      <c r="AF161"/>
      <c r="AK161">
        <f t="shared" si="18"/>
        <v>0</v>
      </c>
      <c r="AL161">
        <f>IF(Table97[[#This Row],[Distance from Tip (in)]]&lt;&gt;0,($E$56*Table97[[#This Row],[Distance from Tip (in)]])-($G$56*(Table97[[#This Row],[Distance from Tip (in)]]^2)/2), 0)</f>
        <v>0</v>
      </c>
      <c r="AM161">
        <f t="shared" si="19"/>
        <v>0</v>
      </c>
      <c r="AN161" s="24">
        <f>IF(AND(Table97[[#This Row],[Distance from Tip (in)2]] &lt;&gt; ROUND($J$16,0),AN160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2" spans="24:40" x14ac:dyDescent="0.25">
      <c r="X162">
        <f t="shared" si="16"/>
        <v>0</v>
      </c>
      <c r="Y162">
        <f>IF(Table9[[#This Row],[Distance from Tip (in)]]&lt;&gt;0, ($E$64)-($F$64)*(X161), 0)</f>
        <v>0</v>
      </c>
      <c r="Z162">
        <f t="shared" si="17"/>
        <v>0</v>
      </c>
      <c r="AA162" s="24">
        <f>IF(AND(Table9[[#This Row],[Distance from Tip (in)2]] &lt;&gt; ROUND($J$16,0),AA161 &lt;&gt;0 ), ($G$68)-($F$68*(Z162-$D$68)),0)</f>
        <v>0</v>
      </c>
      <c r="AC162" s="24"/>
      <c r="AF162"/>
      <c r="AK162">
        <f t="shared" si="18"/>
        <v>0</v>
      </c>
      <c r="AL162">
        <f>IF(Table97[[#This Row],[Distance from Tip (in)]]&lt;&gt;0,($E$56*Table97[[#This Row],[Distance from Tip (in)]])-($G$56*(Table97[[#This Row],[Distance from Tip (in)]]^2)/2), 0)</f>
        <v>0</v>
      </c>
      <c r="AM162">
        <f t="shared" si="19"/>
        <v>0</v>
      </c>
      <c r="AN162" s="24">
        <f>IF(AND(Table97[[#This Row],[Distance from Tip (in)2]] &lt;&gt; ROUND($J$16,0),AN161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3" spans="24:40" x14ac:dyDescent="0.25">
      <c r="X163">
        <f t="shared" si="16"/>
        <v>0</v>
      </c>
      <c r="Y163">
        <f>IF(Table9[[#This Row],[Distance from Tip (in)]]&lt;&gt;0, ($E$64)-($F$64)*(X162), 0)</f>
        <v>0</v>
      </c>
      <c r="Z163">
        <f t="shared" si="17"/>
        <v>0</v>
      </c>
      <c r="AA163" s="24">
        <f>IF(AND(Table9[[#This Row],[Distance from Tip (in)2]] &lt;&gt; ROUND($J$16,0),AA162 &lt;&gt;0 ), ($G$68)-($F$68*(Z163-$D$68)),0)</f>
        <v>0</v>
      </c>
      <c r="AC163" s="24"/>
      <c r="AF163"/>
      <c r="AK163">
        <f t="shared" si="18"/>
        <v>0</v>
      </c>
      <c r="AL163">
        <f>IF(Table97[[#This Row],[Distance from Tip (in)]]&lt;&gt;0,($E$56*Table97[[#This Row],[Distance from Tip (in)]])-($G$56*(Table97[[#This Row],[Distance from Tip (in)]]^2)/2), 0)</f>
        <v>0</v>
      </c>
      <c r="AM163">
        <f t="shared" si="19"/>
        <v>0</v>
      </c>
      <c r="AN163" s="24">
        <f>IF(AND(Table97[[#This Row],[Distance from Tip (in)2]] &lt;&gt; ROUND($J$16,0),AN162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4" spans="24:40" x14ac:dyDescent="0.25">
      <c r="X164">
        <f t="shared" si="16"/>
        <v>0</v>
      </c>
      <c r="Y164">
        <f>IF(Table9[[#This Row],[Distance from Tip (in)]]&lt;&gt;0, ($E$64)-($F$64)*(X163), 0)</f>
        <v>0</v>
      </c>
      <c r="Z164">
        <f t="shared" si="17"/>
        <v>0</v>
      </c>
      <c r="AA164" s="24">
        <f>IF(AND(Table9[[#This Row],[Distance from Tip (in)2]] &lt;&gt; ROUND($J$16,0),AA163 &lt;&gt;0 ), ($G$68)-($F$68*(Z164-$D$68)),0)</f>
        <v>0</v>
      </c>
      <c r="AC164" s="24"/>
      <c r="AF164"/>
      <c r="AK164">
        <f t="shared" si="18"/>
        <v>0</v>
      </c>
      <c r="AL164">
        <f>IF(Table97[[#This Row],[Distance from Tip (in)]]&lt;&gt;0,($E$56*Table97[[#This Row],[Distance from Tip (in)]])-($G$56*(Table97[[#This Row],[Distance from Tip (in)]]^2)/2), 0)</f>
        <v>0</v>
      </c>
      <c r="AM164">
        <f t="shared" si="19"/>
        <v>0</v>
      </c>
      <c r="AN164" s="24">
        <f>IF(AND(Table97[[#This Row],[Distance from Tip (in)2]] &lt;&gt; ROUND($J$16,0),AN163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5" spans="24:40" x14ac:dyDescent="0.25">
      <c r="X165">
        <f t="shared" si="16"/>
        <v>0</v>
      </c>
      <c r="Y165">
        <f>IF(Table9[[#This Row],[Distance from Tip (in)]]&lt;&gt;0, ($E$64)-($F$64)*(X164), 0)</f>
        <v>0</v>
      </c>
      <c r="Z165">
        <f t="shared" si="17"/>
        <v>0</v>
      </c>
      <c r="AA165" s="24">
        <f>IF(AND(Table9[[#This Row],[Distance from Tip (in)2]] &lt;&gt; ROUND($J$16,0),AA164 &lt;&gt;0 ), ($G$68)-($F$68*(Z165-$D$68)),0)</f>
        <v>0</v>
      </c>
      <c r="AC165" s="24"/>
      <c r="AF165"/>
      <c r="AK165">
        <f t="shared" si="18"/>
        <v>0</v>
      </c>
      <c r="AL165">
        <f>IF(Table97[[#This Row],[Distance from Tip (in)]]&lt;&gt;0,($E$56*Table97[[#This Row],[Distance from Tip (in)]])-($G$56*(Table97[[#This Row],[Distance from Tip (in)]]^2)/2), 0)</f>
        <v>0</v>
      </c>
      <c r="AM165">
        <f t="shared" si="19"/>
        <v>0</v>
      </c>
      <c r="AN165" s="24">
        <f>IF(AND(Table97[[#This Row],[Distance from Tip (in)2]] &lt;&gt; ROUND($J$16,0),AN164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6" spans="24:40" x14ac:dyDescent="0.25">
      <c r="X166">
        <f t="shared" si="16"/>
        <v>0</v>
      </c>
      <c r="Y166">
        <f>IF(Table9[[#This Row],[Distance from Tip (in)]]&lt;&gt;0, ($E$64)-($F$64)*(X165), 0)</f>
        <v>0</v>
      </c>
      <c r="Z166">
        <f t="shared" si="17"/>
        <v>0</v>
      </c>
      <c r="AA166" s="24">
        <f>IF(AND(Table9[[#This Row],[Distance from Tip (in)2]] &lt;&gt; ROUND($J$16,0),AA165 &lt;&gt;0 ), ($G$68)-($F$68*(Z166-$D$68)),0)</f>
        <v>0</v>
      </c>
      <c r="AC166" s="24"/>
      <c r="AF166"/>
      <c r="AK166">
        <f t="shared" si="18"/>
        <v>0</v>
      </c>
      <c r="AL166">
        <f>IF(Table97[[#This Row],[Distance from Tip (in)]]&lt;&gt;0,($E$56*Table97[[#This Row],[Distance from Tip (in)]])-($G$56*(Table97[[#This Row],[Distance from Tip (in)]]^2)/2), 0)</f>
        <v>0</v>
      </c>
      <c r="AM166">
        <f t="shared" si="19"/>
        <v>0</v>
      </c>
      <c r="AN166" s="24">
        <f>IF(AND(Table97[[#This Row],[Distance from Tip (in)2]] &lt;&gt; ROUND($J$16,0),AN165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7" spans="24:40" x14ac:dyDescent="0.25">
      <c r="X167">
        <f t="shared" si="16"/>
        <v>0</v>
      </c>
      <c r="Y167">
        <f>IF(Table9[[#This Row],[Distance from Tip (in)]]&lt;&gt;0, ($E$64)-($F$64)*(X166), 0)</f>
        <v>0</v>
      </c>
      <c r="Z167">
        <f t="shared" si="17"/>
        <v>0</v>
      </c>
      <c r="AA167" s="24">
        <f>IF(AND(Table9[[#This Row],[Distance from Tip (in)2]] &lt;&gt; ROUND($J$16,0),AA166 &lt;&gt;0 ), ($G$68)-($F$68*(Z167-$D$68)),0)</f>
        <v>0</v>
      </c>
      <c r="AC167" s="24"/>
      <c r="AF167"/>
      <c r="AK167">
        <f t="shared" si="18"/>
        <v>0</v>
      </c>
      <c r="AL167">
        <f>IF(Table97[[#This Row],[Distance from Tip (in)]]&lt;&gt;0,($E$56*Table97[[#This Row],[Distance from Tip (in)]])-($G$56*(Table97[[#This Row],[Distance from Tip (in)]]^2)/2), 0)</f>
        <v>0</v>
      </c>
      <c r="AM167">
        <f t="shared" si="19"/>
        <v>0</v>
      </c>
      <c r="AN167" s="24">
        <f>IF(AND(Table97[[#This Row],[Distance from Tip (in)2]] &lt;&gt; ROUND($J$16,0),AN166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8" spans="24:40" x14ac:dyDescent="0.25">
      <c r="X168">
        <f t="shared" si="16"/>
        <v>0</v>
      </c>
      <c r="Y168">
        <f>IF(Table9[[#This Row],[Distance from Tip (in)]]&lt;&gt;0, ($E$64)-($F$64)*(X167), 0)</f>
        <v>0</v>
      </c>
      <c r="Z168">
        <f t="shared" si="17"/>
        <v>0</v>
      </c>
      <c r="AA168" s="24">
        <f>IF(AND(Table9[[#This Row],[Distance from Tip (in)2]] &lt;&gt; ROUND($J$16,0),AA167 &lt;&gt;0 ), ($G$68)-($F$68*(Z168-$D$68)),0)</f>
        <v>0</v>
      </c>
      <c r="AC168" s="24"/>
      <c r="AF168"/>
      <c r="AK168">
        <f t="shared" si="18"/>
        <v>0</v>
      </c>
      <c r="AL168">
        <f>IF(Table97[[#This Row],[Distance from Tip (in)]]&lt;&gt;0,($E$56*Table97[[#This Row],[Distance from Tip (in)]])-($G$56*(Table97[[#This Row],[Distance from Tip (in)]]^2)/2), 0)</f>
        <v>0</v>
      </c>
      <c r="AM168">
        <f t="shared" si="19"/>
        <v>0</v>
      </c>
      <c r="AN168" s="24">
        <f>IF(AND(Table97[[#This Row],[Distance from Tip (in)2]] &lt;&gt; ROUND($J$16,0),AN167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69" spans="24:40" x14ac:dyDescent="0.25">
      <c r="X169">
        <f t="shared" ref="X169:X188" si="22">IF(AND(X168 &lt;&gt; $Z$8, X168 &lt;&gt; 0),X168+1,0)</f>
        <v>0</v>
      </c>
      <c r="Y169">
        <f>IF(Table9[[#This Row],[Distance from Tip (in)]]&lt;&gt;0, ($E$64)-($F$64)*(X168), 0)</f>
        <v>0</v>
      </c>
      <c r="Z169">
        <f t="shared" ref="Z169:Z188" si="23">IF(AND(Z168 &lt;&gt;ROUND( $J$16,0), Z168 &lt;&gt; 0),Z168+1,0)</f>
        <v>0</v>
      </c>
      <c r="AA169" s="24">
        <f>IF(AND(Table9[[#This Row],[Distance from Tip (in)2]] &lt;&gt; ROUND($J$16,0),AA168 &lt;&gt;0 ), ($G$68)-($F$68*(Z169-$D$68)),0)</f>
        <v>0</v>
      </c>
      <c r="AC169" s="24"/>
      <c r="AF169"/>
      <c r="AK169">
        <f t="shared" ref="AK169:AK188" si="24">IF(AND(AK168 &lt;&gt; $Z$8, AK168 &lt;&gt; 0),AK168+1,0)</f>
        <v>0</v>
      </c>
      <c r="AL169">
        <f>IF(Table97[[#This Row],[Distance from Tip (in)]]&lt;&gt;0,($E$56*Table97[[#This Row],[Distance from Tip (in)]])-($G$56*(Table97[[#This Row],[Distance from Tip (in)]]^2)/2), 0)</f>
        <v>0</v>
      </c>
      <c r="AM169">
        <f t="shared" ref="AM169:AM188" si="25">IF(AND(AM168 &lt;&gt;ROUND( $J$16,0), AM168 &lt;&gt; 0),AM168+1,0)</f>
        <v>0</v>
      </c>
      <c r="AN169" s="24">
        <f>IF(AND(Table97[[#This Row],[Distance from Tip (in)2]] &lt;&gt; ROUND($J$16,0),AN168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0" spans="24:40" x14ac:dyDescent="0.25">
      <c r="X170">
        <f t="shared" si="22"/>
        <v>0</v>
      </c>
      <c r="Y170">
        <f>IF(Table9[[#This Row],[Distance from Tip (in)]]&lt;&gt;0, ($E$64)-($F$64)*(X169), 0)</f>
        <v>0</v>
      </c>
      <c r="Z170">
        <f t="shared" si="23"/>
        <v>0</v>
      </c>
      <c r="AA170" s="24">
        <f>IF(AND(Table9[[#This Row],[Distance from Tip (in)2]] &lt;&gt; ROUND($J$16,0),AA169 &lt;&gt;0 ), ($G$68)-($F$68*(Z170-$D$68)),0)</f>
        <v>0</v>
      </c>
      <c r="AC170" s="24"/>
      <c r="AF170"/>
      <c r="AK170">
        <f t="shared" si="24"/>
        <v>0</v>
      </c>
      <c r="AL170">
        <f>IF(Table97[[#This Row],[Distance from Tip (in)]]&lt;&gt;0,($E$56*Table97[[#This Row],[Distance from Tip (in)]])-($G$56*(Table97[[#This Row],[Distance from Tip (in)]]^2)/2), 0)</f>
        <v>0</v>
      </c>
      <c r="AM170">
        <f t="shared" si="25"/>
        <v>0</v>
      </c>
      <c r="AN170" s="24">
        <f>IF(AND(Table97[[#This Row],[Distance from Tip (in)2]] &lt;&gt; ROUND($J$16,0),AN169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1" spans="24:40" x14ac:dyDescent="0.25">
      <c r="X171">
        <f t="shared" si="22"/>
        <v>0</v>
      </c>
      <c r="Y171">
        <f>IF(Table9[[#This Row],[Distance from Tip (in)]]&lt;&gt;0, ($E$64)-($F$64)*(X170), 0)</f>
        <v>0</v>
      </c>
      <c r="Z171">
        <f t="shared" si="23"/>
        <v>0</v>
      </c>
      <c r="AA171" s="24">
        <f>IF(AND(Table9[[#This Row],[Distance from Tip (in)2]] &lt;&gt; ROUND($J$16,0),AA170 &lt;&gt;0 ), ($G$68)-($F$68*(Z171-$D$68)),0)</f>
        <v>0</v>
      </c>
      <c r="AC171" s="24"/>
      <c r="AF171"/>
      <c r="AK171">
        <f t="shared" si="24"/>
        <v>0</v>
      </c>
      <c r="AL171">
        <f>IF(Table97[[#This Row],[Distance from Tip (in)]]&lt;&gt;0,($E$56*Table97[[#This Row],[Distance from Tip (in)]])-($G$56*(Table97[[#This Row],[Distance from Tip (in)]]^2)/2), 0)</f>
        <v>0</v>
      </c>
      <c r="AM171">
        <f t="shared" si="25"/>
        <v>0</v>
      </c>
      <c r="AN171" s="24">
        <f>IF(AND(Table97[[#This Row],[Distance from Tip (in)2]] &lt;&gt; ROUND($J$16,0),AN170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2" spans="24:40" x14ac:dyDescent="0.25">
      <c r="X172">
        <f t="shared" si="22"/>
        <v>0</v>
      </c>
      <c r="Y172">
        <f>IF(Table9[[#This Row],[Distance from Tip (in)]]&lt;&gt;0, ($E$64)-($F$64)*(X171), 0)</f>
        <v>0</v>
      </c>
      <c r="Z172">
        <f t="shared" si="23"/>
        <v>0</v>
      </c>
      <c r="AA172" s="24">
        <f>IF(AND(Table9[[#This Row],[Distance from Tip (in)2]] &lt;&gt; ROUND($J$16,0),AA171 &lt;&gt;0 ), ($G$68)-($F$68*(Z172-$D$68)),0)</f>
        <v>0</v>
      </c>
      <c r="AC172" s="24"/>
      <c r="AF172"/>
      <c r="AK172">
        <f t="shared" si="24"/>
        <v>0</v>
      </c>
      <c r="AL172">
        <f>IF(Table97[[#This Row],[Distance from Tip (in)]]&lt;&gt;0,($E$56*Table97[[#This Row],[Distance from Tip (in)]])-($G$56*(Table97[[#This Row],[Distance from Tip (in)]]^2)/2), 0)</f>
        <v>0</v>
      </c>
      <c r="AM172">
        <f t="shared" si="25"/>
        <v>0</v>
      </c>
      <c r="AN172" s="24">
        <f>IF(AND(Table97[[#This Row],[Distance from Tip (in)2]] &lt;&gt; ROUND($J$16,0),AN171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3" spans="24:40" x14ac:dyDescent="0.25">
      <c r="X173">
        <f t="shared" si="22"/>
        <v>0</v>
      </c>
      <c r="Y173">
        <f>IF(Table9[[#This Row],[Distance from Tip (in)]]&lt;&gt;0, ($E$64)-($F$64)*(X172), 0)</f>
        <v>0</v>
      </c>
      <c r="Z173">
        <f t="shared" si="23"/>
        <v>0</v>
      </c>
      <c r="AA173" s="24">
        <f>IF(AND(Table9[[#This Row],[Distance from Tip (in)2]] &lt;&gt; ROUND($J$16,0),AA172 &lt;&gt;0 ), ($G$68)-($F$68*(Z173-$D$68)),0)</f>
        <v>0</v>
      </c>
      <c r="AC173" s="24"/>
      <c r="AF173"/>
      <c r="AK173">
        <f t="shared" si="24"/>
        <v>0</v>
      </c>
      <c r="AL173">
        <f>IF(Table97[[#This Row],[Distance from Tip (in)]]&lt;&gt;0,($E$56*Table97[[#This Row],[Distance from Tip (in)]])-($G$56*(Table97[[#This Row],[Distance from Tip (in)]]^2)/2), 0)</f>
        <v>0</v>
      </c>
      <c r="AM173">
        <f t="shared" si="25"/>
        <v>0</v>
      </c>
      <c r="AN173" s="24">
        <f>IF(AND(Table97[[#This Row],[Distance from Tip (in)2]] &lt;&gt; ROUND($J$16,0),AN172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4" spans="24:40" x14ac:dyDescent="0.25">
      <c r="X174">
        <f t="shared" si="22"/>
        <v>0</v>
      </c>
      <c r="Y174">
        <f>IF(Table9[[#This Row],[Distance from Tip (in)]]&lt;&gt;0, ($E$64)-($F$64)*(X173), 0)</f>
        <v>0</v>
      </c>
      <c r="Z174">
        <f t="shared" si="23"/>
        <v>0</v>
      </c>
      <c r="AA174" s="24">
        <f>IF(AND(Table9[[#This Row],[Distance from Tip (in)2]] &lt;&gt; ROUND($J$16,0),AA173 &lt;&gt;0 ), ($G$68)-($F$68*(Z174-$D$68)),0)</f>
        <v>0</v>
      </c>
      <c r="AC174" s="24"/>
      <c r="AF174"/>
      <c r="AK174">
        <f t="shared" si="24"/>
        <v>0</v>
      </c>
      <c r="AL174">
        <f>IF(Table97[[#This Row],[Distance from Tip (in)]]&lt;&gt;0,($E$56*Table97[[#This Row],[Distance from Tip (in)]])-($G$56*(Table97[[#This Row],[Distance from Tip (in)]]^2)/2), 0)</f>
        <v>0</v>
      </c>
      <c r="AM174">
        <f t="shared" si="25"/>
        <v>0</v>
      </c>
      <c r="AN174" s="24">
        <f>IF(AND(Table97[[#This Row],[Distance from Tip (in)2]] &lt;&gt; ROUND($J$16,0),AN173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5" spans="24:40" x14ac:dyDescent="0.25">
      <c r="X175">
        <f t="shared" si="22"/>
        <v>0</v>
      </c>
      <c r="Y175">
        <f>IF(Table9[[#This Row],[Distance from Tip (in)]]&lt;&gt;0, ($E$64)-($F$64)*(X174), 0)</f>
        <v>0</v>
      </c>
      <c r="Z175">
        <f t="shared" si="23"/>
        <v>0</v>
      </c>
      <c r="AA175" s="24">
        <f>IF(AND(Table9[[#This Row],[Distance from Tip (in)2]] &lt;&gt; ROUND($J$16,0),AA174 &lt;&gt;0 ), ($G$68)-($F$68*(Z175-$D$68)),0)</f>
        <v>0</v>
      </c>
      <c r="AC175" s="24"/>
      <c r="AF175"/>
      <c r="AK175">
        <f t="shared" si="24"/>
        <v>0</v>
      </c>
      <c r="AL175">
        <f>IF(Table97[[#This Row],[Distance from Tip (in)]]&lt;&gt;0,($E$56*Table97[[#This Row],[Distance from Tip (in)]])-($G$56*(Table97[[#This Row],[Distance from Tip (in)]]^2)/2), 0)</f>
        <v>0</v>
      </c>
      <c r="AM175">
        <f t="shared" si="25"/>
        <v>0</v>
      </c>
      <c r="AN175" s="24">
        <f>IF(AND(Table97[[#This Row],[Distance from Tip (in)2]] &lt;&gt; ROUND($J$16,0),AN174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6" spans="24:40" x14ac:dyDescent="0.25">
      <c r="X176">
        <f t="shared" si="22"/>
        <v>0</v>
      </c>
      <c r="Y176">
        <f>IF(Table9[[#This Row],[Distance from Tip (in)]]&lt;&gt;0, ($E$64)-($F$64)*(X175), 0)</f>
        <v>0</v>
      </c>
      <c r="Z176">
        <f t="shared" si="23"/>
        <v>0</v>
      </c>
      <c r="AA176" s="24">
        <f>IF(AND(Table9[[#This Row],[Distance from Tip (in)2]] &lt;&gt; ROUND($J$16,0),AA175 &lt;&gt;0 ), ($G$68)-($F$68*(Z176-$D$68)),0)</f>
        <v>0</v>
      </c>
      <c r="AC176" s="24"/>
      <c r="AF176"/>
      <c r="AK176">
        <f t="shared" si="24"/>
        <v>0</v>
      </c>
      <c r="AL176">
        <f>IF(Table97[[#This Row],[Distance from Tip (in)]]&lt;&gt;0,($E$56*Table97[[#This Row],[Distance from Tip (in)]])-($G$56*(Table97[[#This Row],[Distance from Tip (in)]]^2)/2), 0)</f>
        <v>0</v>
      </c>
      <c r="AM176">
        <f t="shared" si="25"/>
        <v>0</v>
      </c>
      <c r="AN176" s="24">
        <f>IF(AND(Table97[[#This Row],[Distance from Tip (in)2]] &lt;&gt; ROUND($J$16,0),AN175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7" spans="24:40" x14ac:dyDescent="0.25">
      <c r="X177">
        <f t="shared" si="22"/>
        <v>0</v>
      </c>
      <c r="Y177">
        <f>IF(Table9[[#This Row],[Distance from Tip (in)]]&lt;&gt;0, ($E$64)-($F$64)*(X176), 0)</f>
        <v>0</v>
      </c>
      <c r="Z177">
        <f t="shared" si="23"/>
        <v>0</v>
      </c>
      <c r="AA177" s="24">
        <f>IF(AND(Table9[[#This Row],[Distance from Tip (in)2]] &lt;&gt; ROUND($J$16,0),AA176 &lt;&gt;0 ), ($G$68)-($F$68*(Z177-$D$68)),0)</f>
        <v>0</v>
      </c>
      <c r="AC177" s="24"/>
      <c r="AF177"/>
      <c r="AK177">
        <f t="shared" si="24"/>
        <v>0</v>
      </c>
      <c r="AL177">
        <f>IF(Table97[[#This Row],[Distance from Tip (in)]]&lt;&gt;0,($E$56*Table97[[#This Row],[Distance from Tip (in)]])-($G$56*(Table97[[#This Row],[Distance from Tip (in)]]^2)/2), 0)</f>
        <v>0</v>
      </c>
      <c r="AM177">
        <f t="shared" si="25"/>
        <v>0</v>
      </c>
      <c r="AN177" s="24">
        <f>IF(AND(Table97[[#This Row],[Distance from Tip (in)2]] &lt;&gt; ROUND($J$16,0),AN176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8" spans="24:40" x14ac:dyDescent="0.25">
      <c r="X178">
        <f t="shared" si="22"/>
        <v>0</v>
      </c>
      <c r="Y178">
        <f>IF(Table9[[#This Row],[Distance from Tip (in)]]&lt;&gt;0, ($E$64)-($F$64)*(X177), 0)</f>
        <v>0</v>
      </c>
      <c r="Z178">
        <f t="shared" si="23"/>
        <v>0</v>
      </c>
      <c r="AA178" s="24">
        <f>IF(AND(Table9[[#This Row],[Distance from Tip (in)2]] &lt;&gt; ROUND($J$16,0),AA177 &lt;&gt;0 ), ($G$68)-($F$68*(Z178-$D$68)),0)</f>
        <v>0</v>
      </c>
      <c r="AC178" s="24"/>
      <c r="AF178"/>
      <c r="AK178">
        <f t="shared" si="24"/>
        <v>0</v>
      </c>
      <c r="AL178">
        <f>IF(Table97[[#This Row],[Distance from Tip (in)]]&lt;&gt;0,($E$56*Table97[[#This Row],[Distance from Tip (in)]])-($G$56*(Table97[[#This Row],[Distance from Tip (in)]]^2)/2), 0)</f>
        <v>0</v>
      </c>
      <c r="AM178">
        <f t="shared" si="25"/>
        <v>0</v>
      </c>
      <c r="AN178" s="24">
        <f>IF(AND(Table97[[#This Row],[Distance from Tip (in)2]] &lt;&gt; ROUND($J$16,0),AN177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79" spans="24:40" x14ac:dyDescent="0.25">
      <c r="X179">
        <f t="shared" si="22"/>
        <v>0</v>
      </c>
      <c r="Y179">
        <f>IF(Table9[[#This Row],[Distance from Tip (in)]]&lt;&gt;0, ($E$64)-($F$64)*(X178), 0)</f>
        <v>0</v>
      </c>
      <c r="Z179">
        <f t="shared" si="23"/>
        <v>0</v>
      </c>
      <c r="AA179" s="24">
        <f>IF(AND(Table9[[#This Row],[Distance from Tip (in)2]] &lt;&gt; ROUND($J$16,0),AA178 &lt;&gt;0 ), ($G$68)-($F$68*(Z179-$D$68)),0)</f>
        <v>0</v>
      </c>
      <c r="AC179" s="24"/>
      <c r="AF179"/>
      <c r="AK179">
        <f t="shared" si="24"/>
        <v>0</v>
      </c>
      <c r="AL179">
        <f>IF(Table97[[#This Row],[Distance from Tip (in)]]&lt;&gt;0,($E$56*Table97[[#This Row],[Distance from Tip (in)]])-($G$56*(Table97[[#This Row],[Distance from Tip (in)]]^2)/2), 0)</f>
        <v>0</v>
      </c>
      <c r="AM179">
        <f t="shared" si="25"/>
        <v>0</v>
      </c>
      <c r="AN179" s="24">
        <f>IF(AND(Table97[[#This Row],[Distance from Tip (in)2]] &lt;&gt; ROUND($J$16,0),AN178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0" spans="24:40" x14ac:dyDescent="0.25">
      <c r="X180">
        <f t="shared" si="22"/>
        <v>0</v>
      </c>
      <c r="Y180">
        <f>IF(Table9[[#This Row],[Distance from Tip (in)]]&lt;&gt;0, ($E$64)-($F$64)*(X179), 0)</f>
        <v>0</v>
      </c>
      <c r="Z180">
        <f t="shared" si="23"/>
        <v>0</v>
      </c>
      <c r="AA180" s="24">
        <f>IF(AND(Table9[[#This Row],[Distance from Tip (in)2]] &lt;&gt; ROUND($J$16,0),AA179 &lt;&gt;0 ), ($G$68)-($F$68*(Z180-$D$68)),0)</f>
        <v>0</v>
      </c>
      <c r="AC180" s="24"/>
      <c r="AF180"/>
      <c r="AK180">
        <f t="shared" si="24"/>
        <v>0</v>
      </c>
      <c r="AL180">
        <f>IF(Table97[[#This Row],[Distance from Tip (in)]]&lt;&gt;0,($E$56*Table97[[#This Row],[Distance from Tip (in)]])-($G$56*(Table97[[#This Row],[Distance from Tip (in)]]^2)/2), 0)</f>
        <v>0</v>
      </c>
      <c r="AM180">
        <f t="shared" si="25"/>
        <v>0</v>
      </c>
      <c r="AN180" s="24">
        <f>IF(AND(Table97[[#This Row],[Distance from Tip (in)2]] &lt;&gt; ROUND($J$16,0),AN179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1" spans="24:40" x14ac:dyDescent="0.25">
      <c r="X181">
        <f t="shared" si="22"/>
        <v>0</v>
      </c>
      <c r="Y181">
        <f>IF(Table9[[#This Row],[Distance from Tip (in)]]&lt;&gt;0, ($E$64)-($F$64)*(X180), 0)</f>
        <v>0</v>
      </c>
      <c r="Z181">
        <f t="shared" si="23"/>
        <v>0</v>
      </c>
      <c r="AA181" s="24">
        <f>IF(AND(Table9[[#This Row],[Distance from Tip (in)2]] &lt;&gt; ROUND($J$16,0),AA180 &lt;&gt;0 ), ($G$68)-($F$68*(Z181-$D$68)),0)</f>
        <v>0</v>
      </c>
      <c r="AC181" s="24"/>
      <c r="AF181"/>
      <c r="AK181">
        <f t="shared" si="24"/>
        <v>0</v>
      </c>
      <c r="AL181">
        <f>IF(Table97[[#This Row],[Distance from Tip (in)]]&lt;&gt;0,($E$56*Table97[[#This Row],[Distance from Tip (in)]])-($G$56*(Table97[[#This Row],[Distance from Tip (in)]]^2)/2), 0)</f>
        <v>0</v>
      </c>
      <c r="AM181">
        <f t="shared" si="25"/>
        <v>0</v>
      </c>
      <c r="AN181" s="24">
        <f>IF(AND(Table97[[#This Row],[Distance from Tip (in)2]] &lt;&gt; ROUND($J$16,0),AN180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2" spans="24:40" x14ac:dyDescent="0.25">
      <c r="X182">
        <f t="shared" si="22"/>
        <v>0</v>
      </c>
      <c r="Y182">
        <f>IF(Table9[[#This Row],[Distance from Tip (in)]]&lt;&gt;0, ($E$64)-($F$64)*(X181), 0)</f>
        <v>0</v>
      </c>
      <c r="Z182">
        <f t="shared" si="23"/>
        <v>0</v>
      </c>
      <c r="AA182" s="24">
        <f>IF(AND(Table9[[#This Row],[Distance from Tip (in)2]] &lt;&gt; ROUND($J$16,0),AA181 &lt;&gt;0 ), ($G$68)-($F$68*(Z182-$D$68)),0)</f>
        <v>0</v>
      </c>
      <c r="AC182" s="24"/>
      <c r="AF182"/>
      <c r="AK182">
        <f t="shared" si="24"/>
        <v>0</v>
      </c>
      <c r="AL182">
        <f>IF(Table97[[#This Row],[Distance from Tip (in)]]&lt;&gt;0,($E$56*Table97[[#This Row],[Distance from Tip (in)]])-($G$56*(Table97[[#This Row],[Distance from Tip (in)]]^2)/2), 0)</f>
        <v>0</v>
      </c>
      <c r="AM182">
        <f t="shared" si="25"/>
        <v>0</v>
      </c>
      <c r="AN182" s="24">
        <f>IF(AND(Table97[[#This Row],[Distance from Tip (in)2]] &lt;&gt; ROUND($J$16,0),AN181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3" spans="24:40" x14ac:dyDescent="0.25">
      <c r="X183">
        <f t="shared" si="22"/>
        <v>0</v>
      </c>
      <c r="Y183">
        <f>IF(Table9[[#This Row],[Distance from Tip (in)]]&lt;&gt;0, ($E$64)-($F$64)*(X182), 0)</f>
        <v>0</v>
      </c>
      <c r="Z183">
        <f t="shared" si="23"/>
        <v>0</v>
      </c>
      <c r="AA183" s="24">
        <f>IF(AND(Table9[[#This Row],[Distance from Tip (in)2]] &lt;&gt; ROUND($J$16,0),AA182 &lt;&gt;0 ), ($G$68)-($F$68*(Z183-$D$68)),0)</f>
        <v>0</v>
      </c>
      <c r="AC183" s="24"/>
      <c r="AF183"/>
      <c r="AK183">
        <f t="shared" si="24"/>
        <v>0</v>
      </c>
      <c r="AL183">
        <f>IF(Table97[[#This Row],[Distance from Tip (in)]]&lt;&gt;0,($E$56*Table97[[#This Row],[Distance from Tip (in)]])-($G$56*(Table97[[#This Row],[Distance from Tip (in)]]^2)/2), 0)</f>
        <v>0</v>
      </c>
      <c r="AM183">
        <f t="shared" si="25"/>
        <v>0</v>
      </c>
      <c r="AN183" s="24">
        <f>IF(AND(Table97[[#This Row],[Distance from Tip (in)2]] &lt;&gt; ROUND($J$16,0),AN182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4" spans="24:40" x14ac:dyDescent="0.25">
      <c r="X184">
        <f t="shared" si="22"/>
        <v>0</v>
      </c>
      <c r="Y184">
        <f>IF(Table9[[#This Row],[Distance from Tip (in)]]&lt;&gt;0, ($E$64)-($F$64)*(X183), 0)</f>
        <v>0</v>
      </c>
      <c r="Z184">
        <f t="shared" si="23"/>
        <v>0</v>
      </c>
      <c r="AA184" s="24">
        <f>IF(AND(Table9[[#This Row],[Distance from Tip (in)2]] &lt;&gt; ROUND($J$16,0),AA183 &lt;&gt;0 ), ($G$68)-($F$68*(Z184-$D$68)),0)</f>
        <v>0</v>
      </c>
      <c r="AC184" s="24"/>
      <c r="AF184"/>
      <c r="AK184">
        <f t="shared" si="24"/>
        <v>0</v>
      </c>
      <c r="AL184">
        <f>IF(Table97[[#This Row],[Distance from Tip (in)]]&lt;&gt;0,($E$56*Table97[[#This Row],[Distance from Tip (in)]])-($G$56*(Table97[[#This Row],[Distance from Tip (in)]]^2)/2), 0)</f>
        <v>0</v>
      </c>
      <c r="AM184">
        <f t="shared" si="25"/>
        <v>0</v>
      </c>
      <c r="AN184" s="24">
        <f>IF(AND(Table97[[#This Row],[Distance from Tip (in)2]] &lt;&gt; ROUND($J$16,0),AN183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5" spans="24:40" x14ac:dyDescent="0.25">
      <c r="X185">
        <f t="shared" si="22"/>
        <v>0</v>
      </c>
      <c r="Y185">
        <f>IF(Table9[[#This Row],[Distance from Tip (in)]]&lt;&gt;0, ($E$64)-($F$64)*(X184), 0)</f>
        <v>0</v>
      </c>
      <c r="Z185">
        <f t="shared" si="23"/>
        <v>0</v>
      </c>
      <c r="AA185" s="24">
        <f>IF(AND(Table9[[#This Row],[Distance from Tip (in)2]] &lt;&gt; ROUND($J$16,0),AA184 &lt;&gt;0 ), ($G$68)-($F$68*(Z185-$D$68)),0)</f>
        <v>0</v>
      </c>
      <c r="AC185" s="24"/>
      <c r="AF185"/>
      <c r="AK185">
        <f t="shared" si="24"/>
        <v>0</v>
      </c>
      <c r="AL185">
        <f>IF(Table97[[#This Row],[Distance from Tip (in)]]&lt;&gt;0,($E$56*Table97[[#This Row],[Distance from Tip (in)]])-($G$56*(Table97[[#This Row],[Distance from Tip (in)]]^2)/2), 0)</f>
        <v>0</v>
      </c>
      <c r="AM185">
        <f t="shared" si="25"/>
        <v>0</v>
      </c>
      <c r="AN185" s="24">
        <f>IF(AND(Table97[[#This Row],[Distance from Tip (in)2]] &lt;&gt; ROUND($J$16,0),AN184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6" spans="24:40" x14ac:dyDescent="0.25">
      <c r="X186">
        <f t="shared" si="22"/>
        <v>0</v>
      </c>
      <c r="Y186">
        <f>IF(Table9[[#This Row],[Distance from Tip (in)]]&lt;&gt;0, ($E$64)-($F$64)*(X185), 0)</f>
        <v>0</v>
      </c>
      <c r="Z186">
        <f t="shared" si="23"/>
        <v>0</v>
      </c>
      <c r="AA186" s="24">
        <f>IF(AND(Table9[[#This Row],[Distance from Tip (in)2]] &lt;&gt; ROUND($J$16,0),AA185 &lt;&gt;0 ), ($G$68)-($F$68*(Z186-$D$68)),0)</f>
        <v>0</v>
      </c>
      <c r="AC186" s="24"/>
      <c r="AF186"/>
      <c r="AK186">
        <f t="shared" si="24"/>
        <v>0</v>
      </c>
      <c r="AL186">
        <f>IF(Table97[[#This Row],[Distance from Tip (in)]]&lt;&gt;0,($E$56*Table97[[#This Row],[Distance from Tip (in)]])-($G$56*(Table97[[#This Row],[Distance from Tip (in)]]^2)/2), 0)</f>
        <v>0</v>
      </c>
      <c r="AM186">
        <f t="shared" si="25"/>
        <v>0</v>
      </c>
      <c r="AN186" s="24">
        <f>IF(AND(Table97[[#This Row],[Distance from Tip (in)2]] &lt;&gt; ROUND($J$16,0),AN185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7" spans="24:40" x14ac:dyDescent="0.25">
      <c r="X187">
        <f t="shared" si="22"/>
        <v>0</v>
      </c>
      <c r="Y187">
        <f>IF(Table9[[#This Row],[Distance from Tip (in)]]&lt;&gt;0, ($E$64)-($F$64)*(X186), 0)</f>
        <v>0</v>
      </c>
      <c r="Z187">
        <f t="shared" si="23"/>
        <v>0</v>
      </c>
      <c r="AA187" s="24">
        <f>IF(AND(Table9[[#This Row],[Distance from Tip (in)2]] &lt;&gt; ROUND($J$16,0),AA186 &lt;&gt;0 ), ($G$68)-($F$68*(Z187-$D$68)),0)</f>
        <v>0</v>
      </c>
      <c r="AC187" s="24"/>
      <c r="AF187"/>
      <c r="AK187">
        <f t="shared" si="24"/>
        <v>0</v>
      </c>
      <c r="AL187">
        <f>IF(Table97[[#This Row],[Distance from Tip (in)]]&lt;&gt;0,($E$56*Table97[[#This Row],[Distance from Tip (in)]])-($G$56*(Table97[[#This Row],[Distance from Tip (in)]]^2)/2), 0)</f>
        <v>0</v>
      </c>
      <c r="AM187">
        <f t="shared" si="25"/>
        <v>0</v>
      </c>
      <c r="AN187" s="24">
        <f>IF(AND(Table97[[#This Row],[Distance from Tip (in)2]] &lt;&gt; ROUND($J$16,0),AN186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  <row r="188" spans="24:40" x14ac:dyDescent="0.25">
      <c r="X188">
        <f t="shared" si="22"/>
        <v>0</v>
      </c>
      <c r="Y188">
        <f>IF(Table9[[#This Row],[Distance from Tip (in)]]&lt;&gt;0, ($E$64)-($F$64)*(X187), 0)</f>
        <v>0</v>
      </c>
      <c r="Z188">
        <f t="shared" si="23"/>
        <v>0</v>
      </c>
      <c r="AA188" s="24">
        <f>IF(AND(Table9[[#This Row],[Distance from Tip (in)2]] &lt;&gt; ROUND($J$16,0),AA187 &lt;&gt;0 ), ($G$68)-($F$68*(Z188-$D$68)),0)</f>
        <v>0</v>
      </c>
      <c r="AC188" s="24"/>
      <c r="AF188"/>
      <c r="AK188">
        <f t="shared" si="24"/>
        <v>0</v>
      </c>
      <c r="AL188">
        <f>IF(Table97[[#This Row],[Distance from Tip (in)]]&lt;&gt;0,($E$56*Table97[[#This Row],[Distance from Tip (in)]])-($G$56*(Table97[[#This Row],[Distance from Tip (in)]]^2)/2), 0)</f>
        <v>0</v>
      </c>
      <c r="AM188">
        <f t="shared" si="25"/>
        <v>0</v>
      </c>
      <c r="AN188" s="24">
        <f>IF(AND(Table97[[#This Row],[Distance from Tip (in)2]] &lt;&gt; ROUND($J$16,0),AN187 &lt;&gt;0 ), ($D$60*Table97[[#This Row],[Distance from Tip (in)2]])+($F$60*((Table97[[#This Row],[Distance from Tip (in)2]]^2)+(0.5*$G$60^2)-(0.5*Table97[[#This Row],[Distance from Tip (in)2]]^2)))-($G$60*($D$60+($F$60*Table97[[#This Row],[Distance from Tip (in)2]]))),0)</f>
        <v>0</v>
      </c>
    </row>
  </sheetData>
  <mergeCells count="10">
    <mergeCell ref="X4:AA6"/>
    <mergeCell ref="AK4:AN6"/>
    <mergeCell ref="B137:G138"/>
    <mergeCell ref="H137:K138"/>
    <mergeCell ref="G128:I128"/>
    <mergeCell ref="B2:C2"/>
    <mergeCell ref="B3:C3"/>
    <mergeCell ref="B15:C15"/>
    <mergeCell ref="B16:C16"/>
    <mergeCell ref="A132:C134"/>
  </mergeCells>
  <phoneticPr fontId="29" type="noConversion"/>
  <conditionalFormatting sqref="D16:J16 H31 H38 H49 H52 H56 H60 H64 H68 H72 H75 H78 H81 H85:H86 H118 H122 H125">
    <cfRule type="cellIs" dxfId="123" priority="22" operator="notEqual">
      <formula>0</formula>
    </cfRule>
    <cfRule type="cellIs" dxfId="122" priority="23" operator="equal">
      <formula>0</formula>
    </cfRule>
  </conditionalFormatting>
  <conditionalFormatting sqref="G27:H27">
    <cfRule type="cellIs" dxfId="121" priority="19" operator="notEqual">
      <formula>0</formula>
    </cfRule>
    <cfRule type="cellIs" dxfId="120" priority="20" operator="equal">
      <formula>0</formula>
    </cfRule>
  </conditionalFormatting>
  <conditionalFormatting sqref="G42:H42">
    <cfRule type="cellIs" dxfId="119" priority="15" operator="notEqual">
      <formula>0</formula>
    </cfRule>
    <cfRule type="cellIs" dxfId="118" priority="16" operator="equal">
      <formula>0</formula>
    </cfRule>
  </conditionalFormatting>
  <conditionalFormatting sqref="G45:H45">
    <cfRule type="cellIs" dxfId="117" priority="13" operator="notEqual">
      <formula>0</formula>
    </cfRule>
    <cfRule type="cellIs" dxfId="116" priority="14" operator="equal">
      <formula>0</formula>
    </cfRule>
  </conditionalFormatting>
  <conditionalFormatting sqref="H114">
    <cfRule type="cellIs" dxfId="115" priority="7" operator="notEqual">
      <formula>0</formula>
    </cfRule>
    <cfRule type="cellIs" dxfId="114" priority="8" operator="equal">
      <formula>0</formula>
    </cfRule>
  </conditionalFormatting>
  <conditionalFormatting sqref="H141:K141">
    <cfRule type="cellIs" dxfId="113" priority="11" operator="notEqual">
      <formula>0</formula>
    </cfRule>
    <cfRule type="cellIs" dxfId="112" priority="12" operator="equal">
      <formula>0</formula>
    </cfRule>
  </conditionalFormatting>
  <conditionalFormatting sqref="AC33:AD34">
    <cfRule type="cellIs" dxfId="111" priority="3" operator="notEqual">
      <formula>0</formula>
    </cfRule>
    <cfRule type="cellIs" dxfId="110" priority="4" operator="equal">
      <formula>0</formula>
    </cfRule>
  </conditionalFormatting>
  <conditionalFormatting sqref="AP32:AQ33">
    <cfRule type="cellIs" dxfId="109" priority="1" operator="notEqual">
      <formula>0</formula>
    </cfRule>
    <cfRule type="cellIs" dxfId="108" priority="2" operator="equal">
      <formula>0</formula>
    </cfRule>
  </conditionalFormatting>
  <pageMargins left="0.7" right="0.7" top="0.75" bottom="0.75" header="0.3" footer="0.3"/>
  <pageSetup orientation="portrait" r:id="rId1"/>
  <ignoredErrors>
    <ignoredError sqref="F60" formula="1"/>
  </ignoredErrors>
  <drawing r:id="rId2"/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A109-D920-47BD-8014-26FC1CD19BEC}">
  <sheetPr>
    <tabColor rgb="FFFFFF00"/>
  </sheetPr>
  <dimension ref="A2:T150"/>
  <sheetViews>
    <sheetView zoomScaleNormal="100" workbookViewId="0">
      <selection activeCell="D14" sqref="D14"/>
    </sheetView>
  </sheetViews>
  <sheetFormatPr defaultRowHeight="15" x14ac:dyDescent="0.25"/>
  <cols>
    <col min="2" max="2" width="15" customWidth="1"/>
    <col min="3" max="3" width="29.140625" bestFit="1" customWidth="1"/>
    <col min="4" max="4" width="24" customWidth="1"/>
    <col min="5" max="5" width="25.42578125" customWidth="1"/>
    <col min="6" max="6" width="30" customWidth="1"/>
    <col min="7" max="7" width="27.42578125" bestFit="1" customWidth="1"/>
    <col min="8" max="8" width="28" customWidth="1"/>
    <col min="9" max="9" width="27.42578125" bestFit="1" customWidth="1"/>
    <col min="10" max="10" width="30.140625" customWidth="1"/>
    <col min="11" max="11" width="25.140625" customWidth="1"/>
    <col min="13" max="13" width="20.5703125" bestFit="1" customWidth="1"/>
    <col min="14" max="14" width="12" bestFit="1" customWidth="1"/>
    <col min="15" max="15" width="14.85546875" customWidth="1"/>
    <col min="16" max="16" width="13.140625" customWidth="1"/>
    <col min="17" max="17" width="9.85546875" customWidth="1"/>
    <col min="18" max="18" width="31" bestFit="1" customWidth="1"/>
    <col min="19" max="19" width="32.42578125" bestFit="1" customWidth="1"/>
    <col min="20" max="20" width="28" customWidth="1"/>
    <col min="21" max="21" width="29.42578125" customWidth="1"/>
  </cols>
  <sheetData>
    <row r="2" spans="2:20" ht="15.75" thickBot="1" x14ac:dyDescent="0.3"/>
    <row r="3" spans="2:20" ht="60" customHeight="1" thickBot="1" x14ac:dyDescent="0.75">
      <c r="B3" s="204" t="s">
        <v>64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6"/>
    </row>
    <row r="4" spans="2:20" ht="33.75" customHeight="1" x14ac:dyDescent="0.25"/>
    <row r="6" spans="2:20" ht="30" x14ac:dyDescent="0.25">
      <c r="C6" s="23" t="s">
        <v>88</v>
      </c>
      <c r="D6" s="23" t="s">
        <v>199</v>
      </c>
      <c r="E6" s="23" t="s">
        <v>68</v>
      </c>
      <c r="F6" s="23" t="s">
        <v>86</v>
      </c>
      <c r="G6" s="23" t="s">
        <v>40</v>
      </c>
      <c r="H6" s="23" t="s">
        <v>41</v>
      </c>
      <c r="I6" s="23" t="s">
        <v>42</v>
      </c>
      <c r="M6" s="210" t="s">
        <v>200</v>
      </c>
      <c r="N6" s="211"/>
      <c r="O6" s="211"/>
      <c r="P6" s="211"/>
      <c r="Q6" s="211"/>
      <c r="R6" s="212"/>
    </row>
    <row r="7" spans="2:20" x14ac:dyDescent="0.25">
      <c r="C7" s="88">
        <v>40</v>
      </c>
      <c r="D7" s="88">
        <v>45000</v>
      </c>
      <c r="E7" s="88">
        <v>0.125</v>
      </c>
      <c r="F7" s="25">
        <f>'In and Out'!R78</f>
        <v>1.2577554684205907</v>
      </c>
      <c r="G7" s="25">
        <f>'In and Out'!F52</f>
        <v>6.04</v>
      </c>
      <c r="H7" s="25">
        <f>'In and Out'!G52</f>
        <v>5.7960000000000003</v>
      </c>
      <c r="I7" s="25">
        <f>'In and Out'!H52</f>
        <v>5.976</v>
      </c>
      <c r="M7" s="213"/>
      <c r="N7" s="214"/>
      <c r="O7" s="214"/>
      <c r="P7" s="214"/>
      <c r="Q7" s="214"/>
      <c r="R7" s="215"/>
    </row>
    <row r="8" spans="2:20" x14ac:dyDescent="0.25">
      <c r="M8" s="92" t="s">
        <v>201</v>
      </c>
      <c r="N8" s="92" t="s">
        <v>202</v>
      </c>
      <c r="O8" s="92" t="s">
        <v>203</v>
      </c>
      <c r="P8" s="92" t="s">
        <v>204</v>
      </c>
      <c r="Q8" s="92" t="s">
        <v>205</v>
      </c>
      <c r="R8" s="92" t="s">
        <v>206</v>
      </c>
      <c r="S8" s="92" t="s">
        <v>207</v>
      </c>
      <c r="T8" s="92" t="s">
        <v>208</v>
      </c>
    </row>
    <row r="9" spans="2:20" x14ac:dyDescent="0.25">
      <c r="M9" s="93" t="s">
        <v>209</v>
      </c>
      <c r="N9" s="91">
        <v>0.19</v>
      </c>
      <c r="O9" s="91">
        <v>0.14499999999999999</v>
      </c>
      <c r="P9" s="91">
        <f t="shared" ref="P9:Q16" si="0">PI()*N9^2</f>
        <v>0.11341149479459153</v>
      </c>
      <c r="Q9" s="91">
        <f t="shared" si="0"/>
        <v>6.6051985541725394E-2</v>
      </c>
      <c r="R9" s="91">
        <v>1664</v>
      </c>
      <c r="S9" s="91">
        <v>2540</v>
      </c>
      <c r="T9" s="91">
        <v>24</v>
      </c>
    </row>
    <row r="10" spans="2:20" ht="30" x14ac:dyDescent="0.25">
      <c r="C10" s="23" t="s">
        <v>67</v>
      </c>
      <c r="D10" s="23" t="s">
        <v>210</v>
      </c>
      <c r="E10" s="23" t="s">
        <v>202</v>
      </c>
      <c r="F10" s="23" t="s">
        <v>204</v>
      </c>
      <c r="G10" s="23" t="s">
        <v>205</v>
      </c>
      <c r="H10" s="23" t="s">
        <v>211</v>
      </c>
      <c r="I10" s="90" t="s">
        <v>212</v>
      </c>
      <c r="M10" s="93" t="s">
        <v>213</v>
      </c>
      <c r="N10" s="91">
        <v>0.19</v>
      </c>
      <c r="O10" s="91">
        <v>0.156</v>
      </c>
      <c r="P10" s="91">
        <f t="shared" si="0"/>
        <v>0.11341149479459153</v>
      </c>
      <c r="Q10" s="91">
        <f t="shared" si="0"/>
        <v>7.6453798817761209E-2</v>
      </c>
      <c r="R10" s="91">
        <v>1900</v>
      </c>
      <c r="S10" s="91">
        <v>2900</v>
      </c>
      <c r="T10" s="91">
        <v>32</v>
      </c>
    </row>
    <row r="11" spans="2:20" x14ac:dyDescent="0.25">
      <c r="C11" s="81" t="s">
        <v>71</v>
      </c>
      <c r="D11" s="25">
        <f>_xlfn.XLOOKUP(Table11[[#This Row],[Bolt Type]],Table10[Screw size/tpi],Table10[Dmajor (in)])</f>
        <v>0.25</v>
      </c>
      <c r="E11" s="25">
        <f>_xlfn.XLOOKUP(Table11[[#This Row],[Bolt Type]],Table10[Screw size/tpi],Table10[Dminor])</f>
        <v>0.21099999999999999</v>
      </c>
      <c r="F11" s="25">
        <f>_xlfn.XLOOKUP(Table11[[#This Row],[Bolt Type]],Table10[Screw size/tpi],Table10[Amajor])</f>
        <v>0.19634954084936207</v>
      </c>
      <c r="G11" s="25">
        <f>_xlfn.XLOOKUP(Table11[[#This Row],[Bolt Type]],Table10[Screw size/tpi],Table10[Aminor])</f>
        <v>0.13986684653047118</v>
      </c>
      <c r="H11" s="25">
        <f>_xlfn.XLOOKUP(Table11[[#This Row],[Bolt Type]],Table10[Screw size/tpi],Table10[Ultimae Shear Strength (lbf)])</f>
        <v>42000</v>
      </c>
      <c r="I11" s="89">
        <f>_xlfn.XLOOKUP(Table11[[#This Row],[Bolt Type]],Table10[Screw size/tpi],Table10[Ultimae Tensile Strength (lbf)])</f>
        <v>70000</v>
      </c>
      <c r="M11" s="93" t="s">
        <v>214</v>
      </c>
      <c r="N11" s="91">
        <v>0.25</v>
      </c>
      <c r="O11" s="91">
        <v>0.19600000000000001</v>
      </c>
      <c r="P11" s="91">
        <f t="shared" si="0"/>
        <v>0.19634954084936207</v>
      </c>
      <c r="Q11" s="91">
        <f t="shared" si="0"/>
        <v>0.12068742338030551</v>
      </c>
      <c r="R11" s="91">
        <v>3020</v>
      </c>
      <c r="S11" s="91">
        <v>4610</v>
      </c>
      <c r="T11" s="91">
        <v>28</v>
      </c>
    </row>
    <row r="12" spans="2:20" x14ac:dyDescent="0.25">
      <c r="M12" s="93" t="s">
        <v>71</v>
      </c>
      <c r="N12" s="91">
        <v>0.25</v>
      </c>
      <c r="O12" s="91">
        <v>0.21099999999999999</v>
      </c>
      <c r="P12" s="91">
        <f t="shared" si="0"/>
        <v>0.19634954084936207</v>
      </c>
      <c r="Q12" s="91">
        <f t="shared" si="0"/>
        <v>0.13986684653047118</v>
      </c>
      <c r="R12" s="91">
        <f>Table10[[#This Row],[Ultimae Tensile Strength (lbf)]]*0.6</f>
        <v>42000</v>
      </c>
      <c r="S12" s="91">
        <v>70000</v>
      </c>
      <c r="T12" s="91">
        <v>20</v>
      </c>
    </row>
    <row r="13" spans="2:20" x14ac:dyDescent="0.25">
      <c r="M13" s="93" t="s">
        <v>215</v>
      </c>
      <c r="N13" s="91">
        <v>0.3125</v>
      </c>
      <c r="O13" s="91">
        <v>0.26700000000000002</v>
      </c>
      <c r="P13" s="91">
        <f t="shared" si="0"/>
        <v>0.30679615757712825</v>
      </c>
      <c r="Q13" s="91">
        <f t="shared" si="0"/>
        <v>0.22396099868176278</v>
      </c>
      <c r="R13" s="91">
        <v>5536</v>
      </c>
      <c r="S13" s="91">
        <v>8450</v>
      </c>
      <c r="T13" s="91">
        <v>20</v>
      </c>
    </row>
    <row r="14" spans="2:20" x14ac:dyDescent="0.25">
      <c r="M14" s="93" t="s">
        <v>216</v>
      </c>
      <c r="N14" s="91">
        <v>0.32150000000000001</v>
      </c>
      <c r="O14" s="91">
        <v>0.252</v>
      </c>
      <c r="P14" s="91">
        <f t="shared" si="0"/>
        <v>0.32472208525851159</v>
      </c>
      <c r="Q14" s="91">
        <f t="shared" si="0"/>
        <v>0.19950369987356623</v>
      </c>
      <c r="R14" s="91">
        <v>4979</v>
      </c>
      <c r="S14" s="91">
        <v>7600</v>
      </c>
      <c r="T14" s="91">
        <v>18</v>
      </c>
    </row>
    <row r="15" spans="2:20" x14ac:dyDescent="0.25">
      <c r="M15" s="93" t="s">
        <v>217</v>
      </c>
      <c r="N15" s="91">
        <v>0.375</v>
      </c>
      <c r="O15" s="91">
        <v>0.307</v>
      </c>
      <c r="P15" s="91">
        <f t="shared" si="0"/>
        <v>0.44178646691106466</v>
      </c>
      <c r="Q15" s="91">
        <f t="shared" si="0"/>
        <v>0.29609196600818444</v>
      </c>
      <c r="R15" s="91">
        <v>7338</v>
      </c>
      <c r="S15" s="91">
        <v>11200</v>
      </c>
      <c r="T15" s="91">
        <v>16</v>
      </c>
    </row>
    <row r="16" spans="2:20" x14ac:dyDescent="0.25">
      <c r="M16" s="93" t="s">
        <v>218</v>
      </c>
      <c r="N16" s="91">
        <v>0.375</v>
      </c>
      <c r="O16" s="91">
        <v>0.33</v>
      </c>
      <c r="P16" s="91">
        <f t="shared" si="0"/>
        <v>0.44178646691106466</v>
      </c>
      <c r="Q16" s="91">
        <f t="shared" si="0"/>
        <v>0.34211943997592853</v>
      </c>
      <c r="R16" s="91">
        <v>8321</v>
      </c>
      <c r="S16" s="91">
        <v>12700</v>
      </c>
      <c r="T16" s="91">
        <v>24</v>
      </c>
    </row>
    <row r="17" spans="3:9" ht="30" x14ac:dyDescent="0.25">
      <c r="C17" s="74" t="s">
        <v>93</v>
      </c>
      <c r="D17" s="23" t="s">
        <v>77</v>
      </c>
      <c r="E17" s="23" t="s">
        <v>81</v>
      </c>
      <c r="F17" s="23" t="s">
        <v>84</v>
      </c>
      <c r="G17" s="23" t="s">
        <v>85</v>
      </c>
      <c r="H17" s="23" t="s">
        <v>91</v>
      </c>
      <c r="I17" s="23" t="s">
        <v>219</v>
      </c>
    </row>
    <row r="18" spans="3:9" x14ac:dyDescent="0.25">
      <c r="C18" s="27">
        <f>MAX('In and Out'!P87:P88)</f>
        <v>5285.9928359377745</v>
      </c>
      <c r="D18" s="27">
        <f>'In and Out'!N70</f>
        <v>14137.335053950221</v>
      </c>
      <c r="E18" s="27">
        <f>'In and Out'!N74</f>
        <v>421.38556603974877</v>
      </c>
      <c r="F18" s="27">
        <f>'In and Out'!N78</f>
        <v>20385.647935217585</v>
      </c>
      <c r="G18" s="27">
        <f>F7*F18</f>
        <v>25640.160167816841</v>
      </c>
      <c r="H18" s="27">
        <f>'In and Out'!N83</f>
        <v>1352.9358543214055</v>
      </c>
      <c r="I18" s="27">
        <f>'In and Out'!O83</f>
        <v>1701.6624691950315</v>
      </c>
    </row>
    <row r="20" spans="3:9" ht="14.25" customHeight="1" x14ac:dyDescent="0.25"/>
    <row r="21" spans="3:9" ht="45.75" customHeight="1" x14ac:dyDescent="0.25">
      <c r="C21" s="23" t="s">
        <v>220</v>
      </c>
      <c r="D21" s="23" t="s">
        <v>221</v>
      </c>
      <c r="E21" s="23" t="s">
        <v>33</v>
      </c>
    </row>
    <row r="22" spans="3:9" x14ac:dyDescent="0.25">
      <c r="C22" s="27">
        <f>MAX('Aero Force Calculations'!H75,'Aero Force Calculations'!H72)</f>
        <v>17387.964861922559</v>
      </c>
      <c r="D22" s="27">
        <f>'In and Out'!C61</f>
        <v>530</v>
      </c>
      <c r="E22" s="49">
        <f>'In and Out'!Q48</f>
        <v>152.95175478308866</v>
      </c>
    </row>
    <row r="33" spans="3:10" x14ac:dyDescent="0.25">
      <c r="C33" s="221" t="s">
        <v>222</v>
      </c>
      <c r="D33" s="222"/>
      <c r="E33" s="223"/>
    </row>
    <row r="34" spans="3:10" x14ac:dyDescent="0.25">
      <c r="C34" s="224"/>
      <c r="D34" s="225"/>
      <c r="E34" s="226"/>
    </row>
    <row r="35" spans="3:10" ht="30" x14ac:dyDescent="0.25">
      <c r="C35" s="23" t="s">
        <v>223</v>
      </c>
      <c r="D35" s="23" t="s">
        <v>86</v>
      </c>
      <c r="E35" s="23" t="s">
        <v>84</v>
      </c>
      <c r="F35" s="23" t="s">
        <v>85</v>
      </c>
      <c r="G35" s="23" t="s">
        <v>206</v>
      </c>
      <c r="H35" s="23" t="s">
        <v>503</v>
      </c>
      <c r="I35" s="23" t="s">
        <v>75</v>
      </c>
      <c r="J35" s="23" t="s">
        <v>76</v>
      </c>
    </row>
    <row r="36" spans="3:10" x14ac:dyDescent="0.25">
      <c r="C36" s="25">
        <f>C7</f>
        <v>40</v>
      </c>
      <c r="D36" s="25">
        <f>F7</f>
        <v>1.2577554684205907</v>
      </c>
      <c r="E36" s="25">
        <f>F18</f>
        <v>20385.647935217585</v>
      </c>
      <c r="F36" s="25">
        <f>D36*E36</f>
        <v>25640.160167816841</v>
      </c>
      <c r="G36" s="25" cm="1">
        <f t="array" ref="G36">Table11[Ultimate Shear Strength (lbf)]</f>
        <v>42000</v>
      </c>
      <c r="H36" s="42">
        <f>F36/G36</f>
        <v>0.61048000399563906</v>
      </c>
      <c r="I36" s="42">
        <f>H36*C36</f>
        <v>24.419200159825564</v>
      </c>
      <c r="J36" s="42">
        <v>20</v>
      </c>
    </row>
    <row r="39" spans="3:10" ht="30" x14ac:dyDescent="0.25">
      <c r="C39" s="23" t="s">
        <v>74</v>
      </c>
      <c r="D39" s="23" t="s">
        <v>86</v>
      </c>
      <c r="E39" s="23" t="s">
        <v>224</v>
      </c>
      <c r="F39" s="23" t="s">
        <v>84</v>
      </c>
      <c r="G39" s="23" t="s">
        <v>79</v>
      </c>
      <c r="H39" s="23" t="s">
        <v>80</v>
      </c>
      <c r="I39" s="23" t="s">
        <v>69</v>
      </c>
    </row>
    <row r="40" spans="3:10" x14ac:dyDescent="0.25">
      <c r="C40" s="25">
        <f>J36</f>
        <v>20</v>
      </c>
      <c r="D40" s="25">
        <f>F7</f>
        <v>1.2577554684205907</v>
      </c>
      <c r="E40" s="25" cm="1">
        <f t="array" ref="E40">Table11[Aminor]</f>
        <v>0.13986684653047118</v>
      </c>
      <c r="F40" s="25">
        <f>F18</f>
        <v>20385.647935217585</v>
      </c>
      <c r="G40" s="42" cm="1">
        <f t="array" ref="G40">((F18*F7))/(Table11[Aminor]*C40)</f>
        <v>9165.9177295567733</v>
      </c>
      <c r="H40" s="42">
        <f>G40*E40</f>
        <v>1282.0080083908422</v>
      </c>
      <c r="I40" s="42">
        <f>G36/H40</f>
        <v>32.761105800515075</v>
      </c>
    </row>
    <row r="43" spans="3:10" x14ac:dyDescent="0.25">
      <c r="C43" s="23" t="s">
        <v>225</v>
      </c>
      <c r="D43" s="23" t="s">
        <v>68</v>
      </c>
      <c r="E43" s="23" t="s">
        <v>226</v>
      </c>
      <c r="F43" s="23" t="s">
        <v>87</v>
      </c>
    </row>
    <row r="44" spans="3:10" x14ac:dyDescent="0.25">
      <c r="C44" s="25" cm="1">
        <f t="array" ref="C44">Table11[Dmajor Bolts]</f>
        <v>0.25</v>
      </c>
      <c r="D44" s="25">
        <f>E7</f>
        <v>0.125</v>
      </c>
      <c r="E44" s="25">
        <f>H40</f>
        <v>1282.0080083908422</v>
      </c>
      <c r="F44" s="42">
        <f>E44/(C44*D44)</f>
        <v>41024.25626850695</v>
      </c>
    </row>
    <row r="47" spans="3:10" x14ac:dyDescent="0.25">
      <c r="C47" s="221" t="s">
        <v>89</v>
      </c>
      <c r="D47" s="222"/>
      <c r="E47" s="223"/>
    </row>
    <row r="48" spans="3:10" x14ac:dyDescent="0.25">
      <c r="C48" s="224"/>
      <c r="D48" s="225"/>
      <c r="E48" s="226"/>
    </row>
    <row r="49" spans="3:10" ht="30" x14ac:dyDescent="0.25">
      <c r="C49" s="23" t="s">
        <v>223</v>
      </c>
      <c r="D49" s="23" t="s">
        <v>86</v>
      </c>
      <c r="E49" s="23" t="s">
        <v>91</v>
      </c>
      <c r="F49" s="23" t="s">
        <v>227</v>
      </c>
      <c r="G49" s="23" t="s">
        <v>206</v>
      </c>
      <c r="H49" s="23" t="s">
        <v>74</v>
      </c>
      <c r="I49" s="23" t="s">
        <v>75</v>
      </c>
      <c r="J49" s="23" t="s">
        <v>76</v>
      </c>
    </row>
    <row r="50" spans="3:10" x14ac:dyDescent="0.25">
      <c r="C50" s="25">
        <v>1.75</v>
      </c>
      <c r="D50" s="25">
        <f>F7</f>
        <v>1.2577554684205907</v>
      </c>
      <c r="E50" s="25">
        <f>H18</f>
        <v>1352.9358543214055</v>
      </c>
      <c r="F50" s="25">
        <f>D50*E50</f>
        <v>1701.6624691950315</v>
      </c>
      <c r="G50" s="25" cm="1">
        <f t="array" ref="G50">Table11[Ultimate Shear Strength (lbf)]</f>
        <v>42000</v>
      </c>
      <c r="H50" s="42">
        <f>F50/G50</f>
        <v>4.0515773076072174E-2</v>
      </c>
      <c r="I50" s="42">
        <f>H50*C50</f>
        <v>7.0902602883126303E-2</v>
      </c>
      <c r="J50" s="42">
        <f>MROUND(I50,1)</f>
        <v>0</v>
      </c>
    </row>
    <row r="53" spans="3:10" ht="30" x14ac:dyDescent="0.25">
      <c r="C53" s="23" t="s">
        <v>74</v>
      </c>
      <c r="D53" s="23" t="s">
        <v>86</v>
      </c>
      <c r="E53" s="23" t="s">
        <v>224</v>
      </c>
      <c r="F53" s="23" t="s">
        <v>91</v>
      </c>
      <c r="G53" s="23" t="s">
        <v>79</v>
      </c>
      <c r="H53" s="23" t="s">
        <v>80</v>
      </c>
      <c r="I53" s="23" t="s">
        <v>69</v>
      </c>
    </row>
    <row r="54" spans="3:10" x14ac:dyDescent="0.25">
      <c r="C54" s="25">
        <v>10</v>
      </c>
      <c r="D54" s="25">
        <f>F7</f>
        <v>1.2577554684205907</v>
      </c>
      <c r="E54" s="25" cm="1">
        <f t="array" ref="E54">Table11[Aminor]</f>
        <v>0.13986684653047118</v>
      </c>
      <c r="F54" s="25">
        <f>H18</f>
        <v>1352.9358543214055</v>
      </c>
      <c r="G54" s="42" cm="1">
        <f t="array" ref="G54">((H18*F7))/(Table11[Aminor]*C54)</f>
        <v>1216.6303247741484</v>
      </c>
      <c r="H54" s="42">
        <f>G54*E54</f>
        <v>170.16624691950312</v>
      </c>
      <c r="I54" s="42">
        <f>G50/H54</f>
        <v>246.81745504952011</v>
      </c>
    </row>
    <row r="57" spans="3:10" x14ac:dyDescent="0.25">
      <c r="C57" s="23" t="s">
        <v>225</v>
      </c>
      <c r="D57" s="23" t="s">
        <v>68</v>
      </c>
      <c r="E57" s="23" t="s">
        <v>226</v>
      </c>
      <c r="F57" s="23" t="s">
        <v>87</v>
      </c>
    </row>
    <row r="58" spans="3:10" x14ac:dyDescent="0.25">
      <c r="C58" s="25" cm="1">
        <f t="array" ref="C58">Table11[Dmajor Bolts]</f>
        <v>0.25</v>
      </c>
      <c r="D58" s="25">
        <v>0.33</v>
      </c>
      <c r="E58" s="25">
        <f>H54</f>
        <v>170.16624691950312</v>
      </c>
      <c r="F58" s="27">
        <f>E58/(C58*D58)</f>
        <v>2062.6211747818561</v>
      </c>
    </row>
    <row r="69" spans="5:7" ht="27" customHeight="1" x14ac:dyDescent="0.25">
      <c r="E69" s="207" t="s">
        <v>228</v>
      </c>
      <c r="F69" s="208"/>
      <c r="G69" s="209"/>
    </row>
    <row r="70" spans="5:7" ht="41.25" customHeight="1" x14ac:dyDescent="0.25">
      <c r="E70" s="23" t="s">
        <v>229</v>
      </c>
      <c r="F70" s="23" t="s">
        <v>230</v>
      </c>
      <c r="G70" s="23" t="s">
        <v>88</v>
      </c>
    </row>
    <row r="71" spans="5:7" x14ac:dyDescent="0.25">
      <c r="E71" s="25">
        <v>35000</v>
      </c>
      <c r="F71" s="25">
        <f>F44</f>
        <v>41024.25626850695</v>
      </c>
      <c r="G71" s="27">
        <f>E71/F71</f>
        <v>0.85315379688841342</v>
      </c>
    </row>
    <row r="73" spans="5:7" ht="32.25" customHeight="1" x14ac:dyDescent="0.25">
      <c r="E73" s="218" t="s">
        <v>231</v>
      </c>
      <c r="F73" s="219"/>
      <c r="G73" s="220"/>
    </row>
    <row r="74" spans="5:7" ht="38.25" customHeight="1" x14ac:dyDescent="0.25">
      <c r="E74" s="23" t="s">
        <v>229</v>
      </c>
      <c r="F74" s="23" t="s">
        <v>230</v>
      </c>
      <c r="G74" s="23" t="s">
        <v>88</v>
      </c>
    </row>
    <row r="75" spans="5:7" x14ac:dyDescent="0.25">
      <c r="E75" s="25">
        <v>36000</v>
      </c>
      <c r="F75" s="25">
        <f>F58</f>
        <v>2062.6211747818561</v>
      </c>
      <c r="G75" s="27">
        <f>E75/F75</f>
        <v>17.453520035644637</v>
      </c>
    </row>
    <row r="85" spans="3:7" ht="30" x14ac:dyDescent="0.25">
      <c r="C85" s="23" t="s">
        <v>199</v>
      </c>
      <c r="D85" s="23" t="s">
        <v>232</v>
      </c>
      <c r="E85" s="23" t="s">
        <v>233</v>
      </c>
      <c r="F85" s="23" t="s">
        <v>234</v>
      </c>
      <c r="G85" s="23" t="s">
        <v>235</v>
      </c>
    </row>
    <row r="86" spans="3:7" x14ac:dyDescent="0.25">
      <c r="C86" s="25">
        <f>D7</f>
        <v>45000</v>
      </c>
      <c r="D86" s="25">
        <f>C86*0.62</f>
        <v>27900</v>
      </c>
      <c r="E86" s="25">
        <v>0.25</v>
      </c>
      <c r="F86" s="25">
        <f>H40</f>
        <v>1282.0080083908422</v>
      </c>
      <c r="G86" s="27">
        <f>F86/(D86*E86*2)</f>
        <v>9.1900215655257508E-2</v>
      </c>
    </row>
    <row r="88" spans="3:7" x14ac:dyDescent="0.25">
      <c r="C88" s="218" t="s">
        <v>236</v>
      </c>
      <c r="D88" s="219"/>
      <c r="E88" s="220"/>
    </row>
    <row r="89" spans="3:7" ht="15" customHeight="1" x14ac:dyDescent="0.25">
      <c r="C89" s="23" t="s">
        <v>199</v>
      </c>
      <c r="D89" s="23" t="s">
        <v>232</v>
      </c>
      <c r="E89" s="23" t="s">
        <v>233</v>
      </c>
      <c r="F89" s="23" t="s">
        <v>234</v>
      </c>
      <c r="G89" s="23" t="s">
        <v>235</v>
      </c>
    </row>
    <row r="90" spans="3:7" x14ac:dyDescent="0.25">
      <c r="C90" s="25">
        <f>D7</f>
        <v>45000</v>
      </c>
      <c r="D90" s="25">
        <f>C90*0.62</f>
        <v>27900</v>
      </c>
      <c r="E90" s="25">
        <v>0.25</v>
      </c>
      <c r="F90" s="25">
        <f>H54</f>
        <v>170.16624691950312</v>
      </c>
      <c r="G90" s="27">
        <f>F90/(D90*E90*2)</f>
        <v>1.2198297270215278E-2</v>
      </c>
    </row>
    <row r="94" spans="3:7" x14ac:dyDescent="0.25">
      <c r="C94" s="217" t="s">
        <v>237</v>
      </c>
      <c r="D94" s="217"/>
      <c r="E94" s="217"/>
    </row>
    <row r="95" spans="3:7" x14ac:dyDescent="0.25">
      <c r="C95" s="217"/>
      <c r="D95" s="217"/>
      <c r="E95" s="217"/>
    </row>
    <row r="96" spans="3:7" x14ac:dyDescent="0.25">
      <c r="F96" s="23" t="s">
        <v>238</v>
      </c>
      <c r="G96" s="23" t="s">
        <v>235</v>
      </c>
    </row>
    <row r="97" spans="4:7" x14ac:dyDescent="0.25">
      <c r="F97" s="25" cm="1">
        <f t="array" ref="F97">Table11[Dmajor Bolts]</f>
        <v>0.25</v>
      </c>
      <c r="G97" s="27">
        <f>2*F97</f>
        <v>0.5</v>
      </c>
    </row>
    <row r="99" spans="4:7" x14ac:dyDescent="0.25">
      <c r="D99" s="216" t="s">
        <v>239</v>
      </c>
      <c r="E99" s="23" t="s">
        <v>235</v>
      </c>
      <c r="F99" s="23" t="s">
        <v>238</v>
      </c>
      <c r="G99" s="23" t="s">
        <v>90</v>
      </c>
    </row>
    <row r="100" spans="4:7" x14ac:dyDescent="0.25">
      <c r="D100" s="216"/>
      <c r="E100" s="25">
        <f>G97</f>
        <v>0.5</v>
      </c>
      <c r="F100" s="25" cm="1">
        <f t="array" ref="F100">Table11[Dmajor Bolts]</f>
        <v>0.25</v>
      </c>
      <c r="G100" s="27">
        <f>E100-(F100/2)</f>
        <v>0.375</v>
      </c>
    </row>
    <row r="102" spans="4:7" x14ac:dyDescent="0.25">
      <c r="G102" s="71"/>
    </row>
    <row r="103" spans="4:7" x14ac:dyDescent="0.25">
      <c r="G103" s="59"/>
    </row>
    <row r="104" spans="4:7" x14ac:dyDescent="0.25">
      <c r="F104" s="59"/>
    </row>
    <row r="106" spans="4:7" x14ac:dyDescent="0.25">
      <c r="F106" s="59"/>
    </row>
    <row r="107" spans="4:7" x14ac:dyDescent="0.25">
      <c r="F107" s="59"/>
    </row>
    <row r="108" spans="4:7" x14ac:dyDescent="0.25">
      <c r="F108" s="59"/>
      <c r="G108" s="127"/>
    </row>
    <row r="109" spans="4:7" x14ac:dyDescent="0.25">
      <c r="F109" s="127"/>
      <c r="G109" s="127"/>
    </row>
    <row r="110" spans="4:7" x14ac:dyDescent="0.25">
      <c r="F110" s="127"/>
      <c r="G110" s="127"/>
    </row>
    <row r="111" spans="4:7" x14ac:dyDescent="0.25">
      <c r="F111" s="127"/>
    </row>
    <row r="112" spans="4:7" x14ac:dyDescent="0.25">
      <c r="F112" s="127"/>
    </row>
    <row r="113" spans="1:18" x14ac:dyDescent="0.25">
      <c r="F113" s="127"/>
    </row>
    <row r="114" spans="1:18" x14ac:dyDescent="0.25">
      <c r="F114" s="127"/>
    </row>
    <row r="115" spans="1:18" x14ac:dyDescent="0.25">
      <c r="F115" s="127"/>
    </row>
    <row r="116" spans="1:18" x14ac:dyDescent="0.25">
      <c r="F116" s="127"/>
    </row>
    <row r="117" spans="1:18" x14ac:dyDescent="0.25">
      <c r="F117" s="127"/>
    </row>
    <row r="118" spans="1:18" x14ac:dyDescent="0.25">
      <c r="F118" s="127"/>
    </row>
    <row r="121" spans="1:18" x14ac:dyDescent="0.25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</row>
    <row r="122" spans="1:18" x14ac:dyDescent="0.25">
      <c r="A122" s="203" t="s">
        <v>240</v>
      </c>
      <c r="B122" s="203"/>
      <c r="C122" s="203"/>
    </row>
    <row r="123" spans="1:18" x14ac:dyDescent="0.25">
      <c r="A123" s="203"/>
      <c r="B123" s="203"/>
      <c r="C123" s="203"/>
    </row>
    <row r="125" spans="1:18" x14ac:dyDescent="0.25">
      <c r="E125" s="110" t="s">
        <v>241</v>
      </c>
      <c r="F125" s="123" t="s">
        <v>242</v>
      </c>
      <c r="G125" s="123" t="s">
        <v>243</v>
      </c>
      <c r="H125" s="124" t="s">
        <v>244</v>
      </c>
      <c r="I125" s="126" t="s">
        <v>237</v>
      </c>
    </row>
    <row r="126" spans="1:18" x14ac:dyDescent="0.25">
      <c r="E126" s="102">
        <v>6.6000000000000003E-2</v>
      </c>
      <c r="F126" s="125">
        <f>G97</f>
        <v>0.5</v>
      </c>
      <c r="G126" s="125">
        <v>62280</v>
      </c>
      <c r="H126" s="100">
        <v>0.5</v>
      </c>
      <c r="I126" s="122">
        <f>G100</f>
        <v>0.375</v>
      </c>
    </row>
    <row r="129" spans="4:16" x14ac:dyDescent="0.25">
      <c r="D129" t="s">
        <v>245</v>
      </c>
      <c r="E129" cm="1">
        <f t="array" ref="E129">Table12[Allowable shear stress (psi) 6 ply]*2*Table12[Column1]*Table12[Thickness of composite(in)]</f>
        <v>4110.4800000000005</v>
      </c>
      <c r="F129" t="s">
        <v>246</v>
      </c>
    </row>
    <row r="130" spans="4:16" x14ac:dyDescent="0.25">
      <c r="F130" t="s">
        <v>247</v>
      </c>
    </row>
    <row r="132" spans="4:16" x14ac:dyDescent="0.25">
      <c r="E132" s="128">
        <f>'In and Out'!O78</f>
        <v>25640.160167816841</v>
      </c>
      <c r="F132" t="s">
        <v>248</v>
      </c>
      <c r="K132" t="s">
        <v>249</v>
      </c>
      <c r="L132" t="s">
        <v>250</v>
      </c>
      <c r="M132" s="120">
        <v>10380</v>
      </c>
      <c r="N132" t="s">
        <v>251</v>
      </c>
      <c r="O132" s="121">
        <f t="shared" ref="O132" si="1">M132*0.006894757</f>
        <v>71.567577659999998</v>
      </c>
      <c r="P132" t="s">
        <v>252</v>
      </c>
    </row>
    <row r="133" spans="4:16" x14ac:dyDescent="0.25">
      <c r="F133" t="s">
        <v>253</v>
      </c>
      <c r="K133" t="s">
        <v>254</v>
      </c>
      <c r="M133">
        <v>62280</v>
      </c>
      <c r="N133" t="s">
        <v>251</v>
      </c>
      <c r="O133" t="s">
        <v>255</v>
      </c>
      <c r="P133" t="s">
        <v>252</v>
      </c>
    </row>
    <row r="134" spans="4:16" x14ac:dyDescent="0.25">
      <c r="E134" t="s">
        <v>256</v>
      </c>
      <c r="F134" t="s">
        <v>257</v>
      </c>
    </row>
    <row r="135" spans="4:16" x14ac:dyDescent="0.25">
      <c r="E135">
        <v>6.6000000000000003E-2</v>
      </c>
      <c r="F135">
        <v>62280</v>
      </c>
    </row>
    <row r="136" spans="4:16" x14ac:dyDescent="0.25">
      <c r="E136" t="s">
        <v>235</v>
      </c>
      <c r="F136" t="s">
        <v>258</v>
      </c>
    </row>
    <row r="137" spans="4:16" x14ac:dyDescent="0.25">
      <c r="E137">
        <v>0.5</v>
      </c>
      <c r="F137" cm="1">
        <f t="array" ref="F137">Table12[Allowable shear stress (psi) 6 ply]*2*Table13[[#This Row],[Edge distance (in)]]*Table12[Thickness of composite(in)]</f>
        <v>4110.4800000000005</v>
      </c>
    </row>
    <row r="138" spans="4:16" x14ac:dyDescent="0.25">
      <c r="E138">
        <v>1</v>
      </c>
      <c r="F138" cm="1">
        <f t="array" ref="F138">Table12[Allowable shear stress (psi) 6 ply]*2*Table13[[#This Row],[Edge distance (in)]]*Table12[Thickness of composite(in)]</f>
        <v>8220.9600000000009</v>
      </c>
    </row>
    <row r="139" spans="4:16" x14ac:dyDescent="0.25">
      <c r="E139">
        <v>1.5</v>
      </c>
      <c r="F139" cm="1">
        <f t="array" ref="F139">Table12[Allowable shear stress (psi) 6 ply]*2*Table13[[#This Row],[Edge distance (in)]]*Table12[Thickness of composite(in)]</f>
        <v>12331.44</v>
      </c>
    </row>
    <row r="140" spans="4:16" x14ac:dyDescent="0.25">
      <c r="E140">
        <v>2</v>
      </c>
      <c r="F140" cm="1">
        <f t="array" ref="F140">Table12[Allowable shear stress (psi) 6 ply]*2*Table13[[#This Row],[Edge distance (in)]]*Table12[Thickness of composite(in)]</f>
        <v>16441.920000000002</v>
      </c>
    </row>
    <row r="141" spans="4:16" x14ac:dyDescent="0.25">
      <c r="D141" t="s">
        <v>259</v>
      </c>
      <c r="E141">
        <v>2.5</v>
      </c>
      <c r="F141" s="128" cm="1">
        <f t="array" ref="F141">Table12[Allowable shear stress (psi) 6 ply]*2*Table13[[#This Row],[Edge distance (in)]]*Table12[Thickness of composite(in)]</f>
        <v>20552.400000000001</v>
      </c>
    </row>
    <row r="142" spans="4:16" x14ac:dyDescent="0.25">
      <c r="E142">
        <v>3</v>
      </c>
      <c r="F142" cm="1">
        <f t="array" ref="F142">Table12[Allowable shear stress (psi) 6 ply]*2*Table13[[#This Row],[Edge distance (in)]]*Table12[Thickness of composite(in)]</f>
        <v>24662.880000000001</v>
      </c>
    </row>
    <row r="143" spans="4:16" x14ac:dyDescent="0.25">
      <c r="E143">
        <v>3.5</v>
      </c>
      <c r="F143" cm="1">
        <f t="array" ref="F143">Table12[Allowable shear stress (psi) 6 ply]*2*Table13[[#This Row],[Edge distance (in)]]*Table12[Thickness of composite(in)]</f>
        <v>28773.360000000001</v>
      </c>
    </row>
    <row r="144" spans="4:16" x14ac:dyDescent="0.25">
      <c r="E144">
        <v>4</v>
      </c>
      <c r="F144" cm="1">
        <f t="array" ref="F144">Table12[Allowable shear stress (psi) 6 ply]*2*Table13[[#This Row],[Edge distance (in)]]*Table12[Thickness of composite(in)]</f>
        <v>32883.840000000004</v>
      </c>
    </row>
    <row r="145" spans="1:9" x14ac:dyDescent="0.25">
      <c r="E145">
        <v>4.5</v>
      </c>
      <c r="F145" cm="1">
        <f t="array" ref="F145">Table12[Allowable shear stress (psi) 6 ply]*2*Table13[[#This Row],[Edge distance (in)]]*Table12[Thickness of composite(in)]</f>
        <v>36994.32</v>
      </c>
    </row>
    <row r="146" spans="1:9" x14ac:dyDescent="0.25">
      <c r="E146">
        <v>5</v>
      </c>
      <c r="F146" cm="1">
        <f t="array" ref="F146">Table12[Allowable shear stress (psi) 6 ply]*2*Table13[[#This Row],[Edge distance (in)]]*Table12[Thickness of composite(in)]</f>
        <v>41104.800000000003</v>
      </c>
    </row>
    <row r="147" spans="1:9" x14ac:dyDescent="0.25">
      <c r="E147">
        <v>5.5</v>
      </c>
      <c r="F147" cm="1">
        <f t="array" ref="F147">Table12[Allowable shear stress (psi) 6 ply]*2*Table13[[#This Row],[Edge distance (in)]]*Table12[Thickness of composite(in)]</f>
        <v>45215.28</v>
      </c>
    </row>
    <row r="148" spans="1:9" x14ac:dyDescent="0.25">
      <c r="E148">
        <v>6</v>
      </c>
      <c r="F148" cm="1">
        <f t="array" ref="F148">Table12[Allowable shear stress (psi) 6 ply]*2*Table13[[#This Row],[Edge distance (in)]]*Table12[Thickness of composite(in)]</f>
        <v>49325.760000000002</v>
      </c>
    </row>
    <row r="150" spans="1:9" x14ac:dyDescent="0.25">
      <c r="A150" s="119"/>
      <c r="B150" s="119"/>
      <c r="C150" s="119"/>
      <c r="D150" s="119"/>
      <c r="E150" s="119"/>
      <c r="F150" s="119"/>
      <c r="G150" s="119"/>
      <c r="H150" s="119"/>
      <c r="I150" s="119"/>
    </row>
  </sheetData>
  <mergeCells count="10">
    <mergeCell ref="A122:C123"/>
    <mergeCell ref="B3:M3"/>
    <mergeCell ref="E69:G69"/>
    <mergeCell ref="M6:R7"/>
    <mergeCell ref="D99:D100"/>
    <mergeCell ref="C94:E95"/>
    <mergeCell ref="C88:E88"/>
    <mergeCell ref="E73:G73"/>
    <mergeCell ref="C47:E48"/>
    <mergeCell ref="C33:E34"/>
  </mergeCells>
  <phoneticPr fontId="29" type="noConversion"/>
  <conditionalFormatting sqref="C22:E22">
    <cfRule type="cellIs" dxfId="107" priority="51" operator="notEqual">
      <formula>0</formula>
    </cfRule>
    <cfRule type="cellIs" dxfId="106" priority="52" operator="equal">
      <formula>0</formula>
    </cfRule>
  </conditionalFormatting>
  <conditionalFormatting sqref="C18:I18">
    <cfRule type="cellIs" dxfId="105" priority="7" operator="notEqual">
      <formula>0</formula>
    </cfRule>
    <cfRule type="cellIs" dxfId="104" priority="8" operator="equal">
      <formula>0</formula>
    </cfRule>
  </conditionalFormatting>
  <conditionalFormatting sqref="F44">
    <cfRule type="cellIs" dxfId="103" priority="1" operator="notEqual">
      <formula>0</formula>
    </cfRule>
    <cfRule type="cellIs" dxfId="102" priority="2" operator="equal">
      <formula>0</formula>
    </cfRule>
  </conditionalFormatting>
  <conditionalFormatting sqref="F58">
    <cfRule type="cellIs" dxfId="101" priority="11" operator="notEqual">
      <formula>0</formula>
    </cfRule>
    <cfRule type="cellIs" dxfId="100" priority="12" operator="equal">
      <formula>0</formula>
    </cfRule>
  </conditionalFormatting>
  <conditionalFormatting sqref="G71">
    <cfRule type="cellIs" dxfId="99" priority="25" operator="notEqual">
      <formula>0</formula>
    </cfRule>
    <cfRule type="cellIs" dxfId="98" priority="26" operator="equal">
      <formula>0</formula>
    </cfRule>
  </conditionalFormatting>
  <conditionalFormatting sqref="G75">
    <cfRule type="cellIs" dxfId="97" priority="17" operator="notEqual">
      <formula>0</formula>
    </cfRule>
    <cfRule type="cellIs" dxfId="96" priority="18" operator="equal">
      <formula>0</formula>
    </cfRule>
  </conditionalFormatting>
  <conditionalFormatting sqref="G86">
    <cfRule type="cellIs" dxfId="95" priority="19" operator="notEqual">
      <formula>0</formula>
    </cfRule>
    <cfRule type="cellIs" dxfId="94" priority="20" operator="equal">
      <formula>0</formula>
    </cfRule>
  </conditionalFormatting>
  <conditionalFormatting sqref="G90">
    <cfRule type="cellIs" dxfId="93" priority="5" operator="notEqual">
      <formula>0</formula>
    </cfRule>
    <cfRule type="cellIs" dxfId="92" priority="6" operator="equal">
      <formula>0</formula>
    </cfRule>
  </conditionalFormatting>
  <conditionalFormatting sqref="G97">
    <cfRule type="cellIs" dxfId="91" priority="23" operator="notEqual">
      <formula>0</formula>
    </cfRule>
    <cfRule type="cellIs" dxfId="90" priority="24" operator="equal">
      <formula>0</formula>
    </cfRule>
  </conditionalFormatting>
  <conditionalFormatting sqref="G100">
    <cfRule type="cellIs" dxfId="89" priority="21" operator="notEqual">
      <formula>0</formula>
    </cfRule>
    <cfRule type="cellIs" dxfId="88" priority="22" operator="equal">
      <formula>0</formula>
    </cfRule>
  </conditionalFormatting>
  <conditionalFormatting sqref="G40:I40">
    <cfRule type="cellIs" dxfId="87" priority="29" operator="notEqual">
      <formula>0</formula>
    </cfRule>
    <cfRule type="cellIs" dxfId="86" priority="30" operator="equal">
      <formula>0</formula>
    </cfRule>
  </conditionalFormatting>
  <conditionalFormatting sqref="G54:I54">
    <cfRule type="cellIs" dxfId="85" priority="13" operator="notEqual">
      <formula>0</formula>
    </cfRule>
    <cfRule type="cellIs" dxfId="84" priority="14" operator="equal">
      <formula>0</formula>
    </cfRule>
  </conditionalFormatting>
  <conditionalFormatting sqref="H36:J36">
    <cfRule type="cellIs" dxfId="83" priority="37" operator="notEqual">
      <formula>0</formula>
    </cfRule>
    <cfRule type="cellIs" dxfId="82" priority="38" operator="equal">
      <formula>0</formula>
    </cfRule>
  </conditionalFormatting>
  <conditionalFormatting sqref="H50:J50">
    <cfRule type="cellIs" dxfId="81" priority="15" operator="notEqual">
      <formula>0</formula>
    </cfRule>
    <cfRule type="cellIs" dxfId="80" priority="16" operator="equal">
      <formula>0</formula>
    </cfRule>
  </conditionalFormatting>
  <dataValidations count="1">
    <dataValidation type="list" allowBlank="1" showInputMessage="1" showErrorMessage="1" sqref="C11" xr:uid="{26BD983D-42D9-414D-8052-673070AFCE8A}">
      <formula1>$M$9:$M$16</formula1>
    </dataValidation>
  </dataValidations>
  <pageMargins left="0.7" right="0.7" top="0.75" bottom="0.75" header="0.3" footer="0.3"/>
  <drawing r:id="rId1"/>
  <legacyDrawing r:id="rId2"/>
  <tableParts count="5">
    <tablePart r:id="rId3"/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387CD-BC5B-4D98-88D1-EFA692B5CCA5}">
  <dimension ref="C4:AN44"/>
  <sheetViews>
    <sheetView zoomScale="85" zoomScaleNormal="85" workbookViewId="0">
      <selection activeCell="AD4" sqref="AD4"/>
    </sheetView>
  </sheetViews>
  <sheetFormatPr defaultRowHeight="15" x14ac:dyDescent="0.25"/>
  <cols>
    <col min="3" max="3" width="24.140625" bestFit="1" customWidth="1"/>
    <col min="4" max="4" width="25" bestFit="1" customWidth="1"/>
    <col min="5" max="5" width="17" bestFit="1" customWidth="1"/>
    <col min="6" max="6" width="25" bestFit="1" customWidth="1"/>
    <col min="7" max="7" width="16" bestFit="1" customWidth="1"/>
    <col min="8" max="8" width="9.140625" bestFit="1" customWidth="1"/>
    <col min="21" max="21" width="35.85546875" bestFit="1" customWidth="1"/>
    <col min="22" max="22" width="30" bestFit="1" customWidth="1"/>
    <col min="23" max="23" width="13.42578125" bestFit="1" customWidth="1"/>
    <col min="24" max="24" width="13.85546875" bestFit="1" customWidth="1"/>
    <col min="25" max="25" width="11.85546875" bestFit="1" customWidth="1"/>
    <col min="26" max="26" width="19.85546875" bestFit="1" customWidth="1"/>
    <col min="27" max="27" width="32.42578125" bestFit="1" customWidth="1"/>
    <col min="28" max="29" width="11.85546875" bestFit="1" customWidth="1"/>
    <col min="30" max="30" width="30.140625" customWidth="1"/>
    <col min="31" max="31" width="27" bestFit="1" customWidth="1"/>
    <col min="32" max="32" width="11.140625" customWidth="1"/>
    <col min="33" max="33" width="11.140625" bestFit="1" customWidth="1"/>
    <col min="34" max="34" width="15.140625" bestFit="1" customWidth="1"/>
    <col min="35" max="35" width="24.42578125" bestFit="1" customWidth="1"/>
    <col min="36" max="36" width="33.140625" bestFit="1" customWidth="1"/>
    <col min="37" max="37" width="21.140625" bestFit="1" customWidth="1"/>
    <col min="38" max="40" width="11.5703125" bestFit="1" customWidth="1"/>
  </cols>
  <sheetData>
    <row r="4" spans="3:37" ht="45" x14ac:dyDescent="0.25">
      <c r="C4" s="23" t="s">
        <v>451</v>
      </c>
      <c r="D4" s="23" t="s">
        <v>452</v>
      </c>
      <c r="E4" s="23" t="s">
        <v>453</v>
      </c>
      <c r="F4" s="90" t="s">
        <v>457</v>
      </c>
      <c r="W4" s="23" t="s">
        <v>454</v>
      </c>
      <c r="X4" s="23" t="s">
        <v>451</v>
      </c>
      <c r="Y4" s="23" t="s">
        <v>454</v>
      </c>
      <c r="Z4" s="23" t="s">
        <v>199</v>
      </c>
      <c r="AI4" s="2" t="s">
        <v>460</v>
      </c>
    </row>
    <row r="5" spans="3:37" x14ac:dyDescent="0.25">
      <c r="C5" s="25">
        <f>MAX('In and Out'!O56,'In and Out'!O61)</f>
        <v>17387.964861922559</v>
      </c>
      <c r="D5" s="25">
        <v>8</v>
      </c>
      <c r="E5" s="25">
        <f>3/8</f>
        <v>0.375</v>
      </c>
      <c r="F5" s="27">
        <f>_xlfn.XLOOKUP(U9,AD8:AD13,AI8:AI13)</f>
        <v>28000000</v>
      </c>
      <c r="W5" s="25">
        <f>C7</f>
        <v>5285.9928359377745</v>
      </c>
      <c r="X5" s="25">
        <f>C5</f>
        <v>17387.964861922559</v>
      </c>
      <c r="Y5" s="25">
        <f>C7</f>
        <v>5285.9928359377745</v>
      </c>
      <c r="Z5" s="88">
        <v>45000</v>
      </c>
    </row>
    <row r="6" spans="3:37" x14ac:dyDescent="0.25">
      <c r="C6" s="23" t="s">
        <v>454</v>
      </c>
      <c r="AD6" s="2" t="s">
        <v>467</v>
      </c>
    </row>
    <row r="7" spans="3:37" x14ac:dyDescent="0.25">
      <c r="C7" s="25">
        <f>MAX(ABS('In and Out'!P87),ABS('In and Out'!P88))</f>
        <v>5285.9928359377745</v>
      </c>
    </row>
    <row r="8" spans="3:37" ht="45" x14ac:dyDescent="0.25">
      <c r="U8" s="64" t="s">
        <v>470</v>
      </c>
      <c r="V8" s="137" t="s">
        <v>480</v>
      </c>
      <c r="W8" s="90" t="s">
        <v>464</v>
      </c>
      <c r="X8" s="138" t="s">
        <v>465</v>
      </c>
      <c r="Y8" s="90" t="s">
        <v>485</v>
      </c>
      <c r="Z8" s="90" t="s">
        <v>484</v>
      </c>
      <c r="AD8" s="142" t="s">
        <v>466</v>
      </c>
      <c r="AE8" s="136" t="s">
        <v>462</v>
      </c>
      <c r="AF8" s="136" t="s">
        <v>463</v>
      </c>
      <c r="AG8" s="136" t="s">
        <v>469</v>
      </c>
      <c r="AH8" s="136" t="s">
        <v>471</v>
      </c>
      <c r="AI8" s="143" t="s">
        <v>472</v>
      </c>
      <c r="AJ8" s="143" t="s">
        <v>483</v>
      </c>
      <c r="AK8" s="143" t="s">
        <v>484</v>
      </c>
    </row>
    <row r="9" spans="3:37" x14ac:dyDescent="0.25">
      <c r="U9" s="81" t="s">
        <v>468</v>
      </c>
      <c r="V9" s="139" cm="1">
        <f t="array" ref="V9">_xlfn.XLOOKUP(U9,Table15[[#All],[Rod Type]],Table15[[#All],[Normal (Major) Diameter (in)]])</f>
        <v>0.375</v>
      </c>
      <c r="W9" s="140" cm="1">
        <f t="array" ref="W9">_xlfn.XLOOKUP(V9,Table15[[#All],[Normal (Major) Diameter (in)]],Table15[[#All],[Threads Per Inch (in^-1)]])</f>
        <v>16</v>
      </c>
      <c r="X9" s="141" cm="1">
        <f t="array" ref="X9">_xlfn.XLOOKUP(W9,Table15[[#All],[Threads Per Inch (in^-1)]],Table15[[#All],[Pitch (degrees)]])</f>
        <v>30</v>
      </c>
      <c r="Y9" s="141">
        <f>_xlfn.XLOOKUP(U9,AD8:AD18,AJ8:AJ18)</f>
        <v>515000</v>
      </c>
      <c r="Z9" s="141">
        <f>Table1516[[#This Row],[Tensile Strength (psi)]]*0.6</f>
        <v>309000</v>
      </c>
      <c r="AD9" s="144" t="s">
        <v>468</v>
      </c>
      <c r="AE9" s="145">
        <v>0.375</v>
      </c>
      <c r="AF9" s="145">
        <v>16</v>
      </c>
      <c r="AG9" s="145">
        <v>30</v>
      </c>
      <c r="AH9" s="145" t="s">
        <v>482</v>
      </c>
      <c r="AI9" s="146">
        <f>28*10^6</f>
        <v>28000000</v>
      </c>
      <c r="AJ9" s="146">
        <f>515*10^3</f>
        <v>515000</v>
      </c>
      <c r="AK9" s="146">
        <f>Table15[[#This Row],[Tensile (psi)]]*0.6</f>
        <v>309000</v>
      </c>
    </row>
    <row r="13" spans="3:37" x14ac:dyDescent="0.25">
      <c r="D13" s="228" t="s">
        <v>459</v>
      </c>
      <c r="E13" s="228"/>
      <c r="F13" s="228"/>
      <c r="G13" s="228"/>
    </row>
    <row r="14" spans="3:37" ht="15" customHeight="1" x14ac:dyDescent="0.25">
      <c r="D14" s="228"/>
      <c r="E14" s="228"/>
      <c r="F14" s="228"/>
      <c r="G14" s="228"/>
      <c r="U14" s="229" t="s">
        <v>461</v>
      </c>
      <c r="V14" s="230"/>
      <c r="W14" s="230"/>
      <c r="X14" s="231"/>
    </row>
    <row r="15" spans="3:37" ht="15" customHeight="1" x14ac:dyDescent="0.25">
      <c r="D15" s="228"/>
      <c r="E15" s="228"/>
      <c r="F15" s="228"/>
      <c r="G15" s="228"/>
      <c r="U15" s="232"/>
      <c r="V15" s="233"/>
      <c r="W15" s="233"/>
      <c r="X15" s="234"/>
    </row>
    <row r="16" spans="3:37" ht="15" customHeight="1" x14ac:dyDescent="0.25">
      <c r="U16" s="235"/>
      <c r="V16" s="236"/>
      <c r="W16" s="236"/>
      <c r="X16" s="237"/>
    </row>
    <row r="17" spans="4:39" x14ac:dyDescent="0.25">
      <c r="Z17" s="227" t="s">
        <v>493</v>
      </c>
      <c r="AA17" s="227"/>
      <c r="AB17" s="227"/>
      <c r="AH17" s="227" t="s">
        <v>494</v>
      </c>
      <c r="AI17" s="227"/>
      <c r="AJ17" s="227"/>
    </row>
    <row r="18" spans="4:39" x14ac:dyDescent="0.25">
      <c r="Z18" s="227"/>
      <c r="AA18" s="227"/>
      <c r="AB18" s="227"/>
      <c r="AH18" s="227"/>
      <c r="AI18" s="227"/>
      <c r="AJ18" s="227"/>
    </row>
    <row r="19" spans="4:39" ht="60" x14ac:dyDescent="0.25">
      <c r="D19" s="23" t="s">
        <v>455</v>
      </c>
      <c r="E19" s="23" t="s">
        <v>457</v>
      </c>
      <c r="F19" s="23" t="s">
        <v>456</v>
      </c>
      <c r="G19" s="23" t="s">
        <v>452</v>
      </c>
      <c r="H19" s="23" t="s">
        <v>458</v>
      </c>
      <c r="U19" s="64" t="s">
        <v>480</v>
      </c>
      <c r="V19" s="64" t="s">
        <v>463</v>
      </c>
      <c r="W19" s="23" t="s">
        <v>473</v>
      </c>
      <c r="Z19" s="23" t="s">
        <v>451</v>
      </c>
      <c r="AA19" s="23" t="s">
        <v>487</v>
      </c>
      <c r="AB19" s="23" t="s">
        <v>321</v>
      </c>
      <c r="AC19" s="64" t="s">
        <v>484</v>
      </c>
      <c r="AD19" s="23" t="s">
        <v>486</v>
      </c>
      <c r="AE19" s="23" t="s">
        <v>488</v>
      </c>
      <c r="AH19" s="23" t="s">
        <v>451</v>
      </c>
      <c r="AI19" s="23" t="s">
        <v>487</v>
      </c>
      <c r="AJ19" s="23" t="s">
        <v>321</v>
      </c>
      <c r="AK19" s="64" t="s">
        <v>484</v>
      </c>
      <c r="AL19" s="23" t="s">
        <v>495</v>
      </c>
      <c r="AM19" s="23" t="s">
        <v>496</v>
      </c>
    </row>
    <row r="20" spans="4:39" x14ac:dyDescent="0.25">
      <c r="D20" s="25">
        <f>C7</f>
        <v>5285.9928359377745</v>
      </c>
      <c r="E20" s="25">
        <f>F5</f>
        <v>28000000</v>
      </c>
      <c r="F20" s="27">
        <f>D20/E20</f>
        <v>1.8878545842634909E-4</v>
      </c>
      <c r="G20" s="25">
        <f>D5</f>
        <v>8</v>
      </c>
      <c r="H20" s="135">
        <f>F20*G20</f>
        <v>1.5102836674107927E-3</v>
      </c>
      <c r="U20" s="25" cm="1">
        <f t="array" ref="U20">Table1516[ Normal (Major) Diameter (in)]</f>
        <v>0.375</v>
      </c>
      <c r="V20" s="25" cm="1">
        <f t="array" ref="V20">Table1516[External Threads Per Inch (in^-1)]</f>
        <v>16</v>
      </c>
      <c r="W20" s="27">
        <f>U20-(1.299038/V20)</f>
        <v>0.29381012500000003</v>
      </c>
      <c r="Z20" s="25">
        <f>X5</f>
        <v>17387.964861922559</v>
      </c>
      <c r="AA20" s="10">
        <f>Z20/2</f>
        <v>8693.9824309612795</v>
      </c>
      <c r="AB20" s="25">
        <f>AB44</f>
        <v>0.52528223892787929</v>
      </c>
      <c r="AC20" s="25" cm="1">
        <f t="array" ref="AC20">Table1516[Shear Strength (psi)]</f>
        <v>309000</v>
      </c>
      <c r="AD20" s="27">
        <f>Z20/AB20</f>
        <v>33102.137428845963</v>
      </c>
      <c r="AE20" s="27">
        <f>AC20/AD20</f>
        <v>9.334744641919416</v>
      </c>
      <c r="AH20" s="25">
        <f>Z20</f>
        <v>17387.964861922559</v>
      </c>
      <c r="AI20" s="10">
        <f>AH20/2</f>
        <v>8693.9824309612795</v>
      </c>
      <c r="AJ20" s="25">
        <f>AB44</f>
        <v>0.52528223892787929</v>
      </c>
      <c r="AK20" s="25">
        <f>Z5</f>
        <v>45000</v>
      </c>
      <c r="AL20" s="27">
        <f>AH20/AJ20</f>
        <v>33102.137428845963</v>
      </c>
      <c r="AM20" s="27">
        <f>AK20/AL20</f>
        <v>1.3594288313474878</v>
      </c>
    </row>
    <row r="23" spans="4:39" ht="45" x14ac:dyDescent="0.25">
      <c r="U23" s="64" t="s">
        <v>480</v>
      </c>
      <c r="V23" s="64" t="s">
        <v>463</v>
      </c>
      <c r="W23" s="23" t="s">
        <v>474</v>
      </c>
      <c r="Z23" s="23" t="s">
        <v>454</v>
      </c>
      <c r="AA23" s="23" t="s">
        <v>489</v>
      </c>
      <c r="AB23" s="23" t="s">
        <v>321</v>
      </c>
      <c r="AC23" s="64" t="s">
        <v>484</v>
      </c>
      <c r="AD23" s="23" t="s">
        <v>486</v>
      </c>
      <c r="AE23" s="23" t="s">
        <v>488</v>
      </c>
      <c r="AH23" s="227" t="s">
        <v>497</v>
      </c>
      <c r="AI23" s="227"/>
      <c r="AJ23" s="227"/>
    </row>
    <row r="24" spans="4:39" x14ac:dyDescent="0.25">
      <c r="U24" s="25" cm="1">
        <f t="array" ref="U24">Table1516[ Normal (Major) Diameter (in)]</f>
        <v>0.375</v>
      </c>
      <c r="V24" s="25" cm="1">
        <f t="array" ref="V24">Table1516[External Threads Per Inch (in^-1)]</f>
        <v>16</v>
      </c>
      <c r="W24" s="27">
        <f>U20-(0.64951905/V20)</f>
        <v>0.33440505937499998</v>
      </c>
      <c r="Z24" s="25">
        <f>W5</f>
        <v>5285.9928359377745</v>
      </c>
      <c r="AA24" s="10">
        <f>Z24*AB24</f>
        <v>2776.6381518181242</v>
      </c>
      <c r="AB24" s="25">
        <f>AB44</f>
        <v>0.52528223892787929</v>
      </c>
      <c r="AC24" s="25" cm="1">
        <f t="array" ref="AC24">Table1516[Shear Strength (psi)]</f>
        <v>309000</v>
      </c>
      <c r="AD24" s="27">
        <f>AA24/AB24</f>
        <v>5285.9928359377745</v>
      </c>
      <c r="AE24" s="27">
        <f>AC24/AD24</f>
        <v>58.456378884815706</v>
      </c>
      <c r="AH24" s="227"/>
      <c r="AI24" s="227"/>
      <c r="AJ24" s="227"/>
    </row>
    <row r="25" spans="4:39" ht="75" x14ac:dyDescent="0.25">
      <c r="AH25" s="23" t="s">
        <v>451</v>
      </c>
      <c r="AI25" s="23" t="s">
        <v>487</v>
      </c>
      <c r="AJ25" s="23" t="s">
        <v>321</v>
      </c>
      <c r="AK25" s="64" t="s">
        <v>484</v>
      </c>
      <c r="AL25" s="23" t="s">
        <v>498</v>
      </c>
      <c r="AM25" s="23" t="s">
        <v>497</v>
      </c>
    </row>
    <row r="26" spans="4:39" x14ac:dyDescent="0.25">
      <c r="AH26" s="25">
        <f>X5/2</f>
        <v>8693.9824309612795</v>
      </c>
      <c r="AI26" s="10">
        <f>AH26/2</f>
        <v>4346.9912154806398</v>
      </c>
      <c r="AJ26" s="25">
        <f>AJ33</f>
        <v>0.17084298740127929</v>
      </c>
      <c r="AK26" s="25">
        <f>Z5</f>
        <v>45000</v>
      </c>
      <c r="AL26" s="27">
        <f>AH26/AJ26</f>
        <v>50888.728669563046</v>
      </c>
      <c r="AM26" s="27">
        <f>AK26/AL26</f>
        <v>0.88428226006979926</v>
      </c>
    </row>
    <row r="27" spans="4:39" ht="45" x14ac:dyDescent="0.25">
      <c r="U27" s="64" t="s">
        <v>480</v>
      </c>
      <c r="V27" s="64" t="s">
        <v>463</v>
      </c>
      <c r="W27" s="23" t="s">
        <v>475</v>
      </c>
    </row>
    <row r="28" spans="4:39" x14ac:dyDescent="0.25">
      <c r="U28" s="25" cm="1">
        <f t="array" ref="U28">Table1516[ Normal (Major) Diameter (in)]</f>
        <v>0.375</v>
      </c>
      <c r="V28" s="25" cm="1">
        <f t="array" ref="V28">Table1516[External Threads Per Inch (in^-1)]</f>
        <v>16</v>
      </c>
      <c r="W28" s="27">
        <f>U28-(1.08253175/V28)</f>
        <v>0.30734176562499999</v>
      </c>
    </row>
    <row r="29" spans="4:39" ht="45" x14ac:dyDescent="0.25">
      <c r="AH29" s="64" t="s">
        <v>480</v>
      </c>
      <c r="AI29" s="64" t="s">
        <v>463</v>
      </c>
      <c r="AJ29" s="23" t="s">
        <v>476</v>
      </c>
    </row>
    <row r="30" spans="4:39" x14ac:dyDescent="0.25">
      <c r="AH30" s="25">
        <v>0.25</v>
      </c>
      <c r="AI30" s="25">
        <v>20</v>
      </c>
      <c r="AJ30" s="27">
        <f>AH30-(0.64951905/AI30)</f>
        <v>0.21752404749999998</v>
      </c>
    </row>
    <row r="31" spans="4:39" ht="30" x14ac:dyDescent="0.25">
      <c r="U31" s="64" t="s">
        <v>480</v>
      </c>
      <c r="V31" s="64" t="s">
        <v>463</v>
      </c>
      <c r="W31" s="23" t="s">
        <v>476</v>
      </c>
    </row>
    <row r="32" spans="4:39" ht="45" x14ac:dyDescent="0.25">
      <c r="U32" s="25" cm="1">
        <f t="array" ref="U32">Table1516[ Normal (Major) Diameter (in)]</f>
        <v>0.375</v>
      </c>
      <c r="V32" s="25" cm="1">
        <f t="array" ref="V32">Table1516[External Threads Per Inch (in^-1)]</f>
        <v>16</v>
      </c>
      <c r="W32" s="27">
        <f>U28-(0.64951905/V28)</f>
        <v>0.33440505937499998</v>
      </c>
      <c r="AH32" s="64" t="s">
        <v>490</v>
      </c>
      <c r="AI32" s="64" t="s">
        <v>492</v>
      </c>
      <c r="AJ32" s="23" t="s">
        <v>321</v>
      </c>
    </row>
    <row r="33" spans="21:40" x14ac:dyDescent="0.25">
      <c r="AH33" s="25">
        <v>0.5</v>
      </c>
      <c r="AI33" s="25">
        <f>AJ30</f>
        <v>0.21752404749999998</v>
      </c>
      <c r="AJ33" s="27">
        <f>0.5*PI()*AI33*AH33</f>
        <v>0.17084298740127929</v>
      </c>
    </row>
    <row r="35" spans="21:40" ht="30" x14ac:dyDescent="0.25">
      <c r="V35" s="64" t="s">
        <v>481</v>
      </c>
      <c r="W35" s="28" t="s">
        <v>477</v>
      </c>
    </row>
    <row r="36" spans="21:40" x14ac:dyDescent="0.25">
      <c r="V36" s="25">
        <v>0.375</v>
      </c>
      <c r="W36" s="27">
        <f>PI()/4*(0.375)^2</f>
        <v>0.11044661672776616</v>
      </c>
      <c r="AH36" s="227" t="s">
        <v>499</v>
      </c>
      <c r="AI36" s="227"/>
      <c r="AJ36" s="227"/>
    </row>
    <row r="37" spans="21:40" x14ac:dyDescent="0.25">
      <c r="AH37" s="227"/>
      <c r="AI37" s="227"/>
      <c r="AJ37" s="227"/>
    </row>
    <row r="38" spans="21:40" ht="75" x14ac:dyDescent="0.25">
      <c r="AH38" s="23" t="s">
        <v>451</v>
      </c>
      <c r="AI38" s="23" t="s">
        <v>502</v>
      </c>
      <c r="AJ38" s="23" t="s">
        <v>501</v>
      </c>
      <c r="AK38" s="23" t="s">
        <v>500</v>
      </c>
      <c r="AL38" s="64" t="s">
        <v>484</v>
      </c>
      <c r="AM38" s="23" t="s">
        <v>498</v>
      </c>
      <c r="AN38" s="23" t="s">
        <v>497</v>
      </c>
    </row>
    <row r="39" spans="21:40" ht="30" x14ac:dyDescent="0.25">
      <c r="U39" s="64" t="s">
        <v>480</v>
      </c>
      <c r="V39" s="64" t="s">
        <v>463</v>
      </c>
      <c r="W39" s="23" t="s">
        <v>478</v>
      </c>
      <c r="AH39" s="25">
        <f>X5</f>
        <v>17387.964861922559</v>
      </c>
      <c r="AI39" s="88">
        <v>0.25</v>
      </c>
      <c r="AJ39" s="88">
        <v>0.5</v>
      </c>
      <c r="AK39" s="25">
        <f>AI39*AJ39</f>
        <v>0.125</v>
      </c>
      <c r="AL39" s="25">
        <f>Z5</f>
        <v>45000</v>
      </c>
      <c r="AM39" s="27">
        <f>AH39/AK39</f>
        <v>139103.71889538047</v>
      </c>
      <c r="AN39" s="27">
        <f>AL39/AM39</f>
        <v>0.32349961853891468</v>
      </c>
    </row>
    <row r="40" spans="21:40" x14ac:dyDescent="0.25">
      <c r="U40" s="25" t="e" cm="1">
        <f t="array" ref="U40">Table1516 #REF!</f>
        <v>#NAME?</v>
      </c>
      <c r="V40" s="25" cm="1">
        <f t="array" ref="V40">Table1516[External Threads Per Inch (in^-1)]</f>
        <v>16</v>
      </c>
      <c r="W40" s="27" t="e" cm="1">
        <f t="array" ref="W40">PI()/4*(U40-(0.9743/Table1516[External Threads Per Inch (in^-1)]))^2</f>
        <v>#NAME?</v>
      </c>
    </row>
    <row r="43" spans="21:40" ht="45" x14ac:dyDescent="0.25">
      <c r="V43" s="64" t="s">
        <v>473</v>
      </c>
      <c r="W43" s="23" t="s">
        <v>479</v>
      </c>
      <c r="Z43" s="64" t="s">
        <v>490</v>
      </c>
      <c r="AA43" s="64" t="s">
        <v>492</v>
      </c>
      <c r="AB43" s="23" t="s">
        <v>321</v>
      </c>
      <c r="AD43" s="2" t="s">
        <v>491</v>
      </c>
    </row>
    <row r="44" spans="21:40" x14ac:dyDescent="0.25">
      <c r="V44" s="25">
        <f>W20</f>
        <v>0.29381012500000003</v>
      </c>
      <c r="W44" s="27">
        <f>PI()/4*V44^2</f>
        <v>6.7799017010951659E-2</v>
      </c>
      <c r="Z44" s="25">
        <v>1</v>
      </c>
      <c r="AA44" s="25">
        <f>W32</f>
        <v>0.33440505937499998</v>
      </c>
      <c r="AB44" s="27">
        <f>0.5*PI()*AA44*Z44</f>
        <v>0.52528223892787929</v>
      </c>
    </row>
  </sheetData>
  <mergeCells count="6">
    <mergeCell ref="AH36:AJ37"/>
    <mergeCell ref="D13:G15"/>
    <mergeCell ref="U14:X16"/>
    <mergeCell ref="Z17:AB18"/>
    <mergeCell ref="AH17:AJ18"/>
    <mergeCell ref="AH23:AJ24"/>
  </mergeCells>
  <phoneticPr fontId="29" type="noConversion"/>
  <conditionalFormatting sqref="F5 W20 W24">
    <cfRule type="cellIs" dxfId="79" priority="41" operator="notEqual">
      <formula>0</formula>
    </cfRule>
    <cfRule type="cellIs" dxfId="78" priority="42" operator="equal">
      <formula>0</formula>
    </cfRule>
  </conditionalFormatting>
  <conditionalFormatting sqref="F20">
    <cfRule type="cellIs" dxfId="77" priority="35" operator="notEqual">
      <formula>0</formula>
    </cfRule>
    <cfRule type="cellIs" dxfId="76" priority="36" operator="equal">
      <formula>0</formula>
    </cfRule>
  </conditionalFormatting>
  <conditionalFormatting sqref="H20">
    <cfRule type="cellIs" dxfId="75" priority="33" operator="notEqual">
      <formula>0</formula>
    </cfRule>
    <cfRule type="cellIs" dxfId="74" priority="34" operator="equal">
      <formula>0</formula>
    </cfRule>
  </conditionalFormatting>
  <conditionalFormatting sqref="W28 W32">
    <cfRule type="cellIs" dxfId="73" priority="29" operator="notEqual">
      <formula>0</formula>
    </cfRule>
    <cfRule type="cellIs" dxfId="72" priority="30" operator="equal">
      <formula>0</formula>
    </cfRule>
  </conditionalFormatting>
  <conditionalFormatting sqref="W36">
    <cfRule type="cellIs" dxfId="71" priority="25" operator="notEqual">
      <formula>0</formula>
    </cfRule>
    <cfRule type="cellIs" dxfId="70" priority="26" operator="equal">
      <formula>0</formula>
    </cfRule>
  </conditionalFormatting>
  <conditionalFormatting sqref="W40">
    <cfRule type="cellIs" dxfId="69" priority="23" operator="notEqual">
      <formula>0</formula>
    </cfRule>
    <cfRule type="cellIs" dxfId="68" priority="24" operator="equal">
      <formula>0</formula>
    </cfRule>
  </conditionalFormatting>
  <conditionalFormatting sqref="W44">
    <cfRule type="cellIs" dxfId="67" priority="21" operator="notEqual">
      <formula>0</formula>
    </cfRule>
    <cfRule type="cellIs" dxfId="66" priority="22" operator="equal">
      <formula>0</formula>
    </cfRule>
  </conditionalFormatting>
  <conditionalFormatting sqref="AB44">
    <cfRule type="cellIs" dxfId="65" priority="11" operator="notEqual">
      <formula>0</formula>
    </cfRule>
    <cfRule type="cellIs" dxfId="64" priority="12" operator="equal">
      <formula>0</formula>
    </cfRule>
  </conditionalFormatting>
  <conditionalFormatting sqref="AD20:AE20">
    <cfRule type="cellIs" dxfId="63" priority="15" operator="notEqual">
      <formula>0</formula>
    </cfRule>
    <cfRule type="cellIs" dxfId="62" priority="16" operator="equal">
      <formula>0</formula>
    </cfRule>
  </conditionalFormatting>
  <conditionalFormatting sqref="AD24:AE24">
    <cfRule type="cellIs" dxfId="61" priority="13" operator="notEqual">
      <formula>0</formula>
    </cfRule>
    <cfRule type="cellIs" dxfId="60" priority="14" operator="equal">
      <formula>0</formula>
    </cfRule>
  </conditionalFormatting>
  <conditionalFormatting sqref="AJ30">
    <cfRule type="cellIs" dxfId="59" priority="5" operator="notEqual">
      <formula>0</formula>
    </cfRule>
    <cfRule type="cellIs" dxfId="58" priority="6" operator="equal">
      <formula>0</formula>
    </cfRule>
  </conditionalFormatting>
  <conditionalFormatting sqref="AJ33">
    <cfRule type="cellIs" dxfId="57" priority="3" operator="notEqual">
      <formula>0</formula>
    </cfRule>
    <cfRule type="cellIs" dxfId="56" priority="4" operator="equal">
      <formula>0</formula>
    </cfRule>
  </conditionalFormatting>
  <conditionalFormatting sqref="AL20:AM20">
    <cfRule type="cellIs" dxfId="55" priority="9" operator="notEqual">
      <formula>0</formula>
    </cfRule>
    <cfRule type="cellIs" dxfId="54" priority="10" operator="equal">
      <formula>0</formula>
    </cfRule>
  </conditionalFormatting>
  <conditionalFormatting sqref="AL26:AM26">
    <cfRule type="cellIs" dxfId="53" priority="7" operator="notEqual">
      <formula>0</formula>
    </cfRule>
    <cfRule type="cellIs" dxfId="52" priority="8" operator="equal">
      <formula>0</formula>
    </cfRule>
  </conditionalFormatting>
  <conditionalFormatting sqref="AM39:AN39">
    <cfRule type="cellIs" dxfId="51" priority="1" operator="notEqual">
      <formula>0</formula>
    </cfRule>
    <cfRule type="cellIs" dxfId="50" priority="2" operator="equal">
      <formula>0</formula>
    </cfRule>
  </conditionalFormatting>
  <dataValidations count="1">
    <dataValidation type="list" allowBlank="1" showInputMessage="1" showErrorMessage="1" sqref="U9" xr:uid="{0685526B-58B3-4EC1-8E16-BEC2B21186E1}">
      <formula1>$AD$9:$AD$16</formula1>
    </dataValidation>
  </dataValidations>
  <hyperlinks>
    <hyperlink ref="AI4" r:id="rId1" display="https://mechanicalc.com/reference/bolted-joint-analysis" xr:uid="{7E0D6B5F-FE28-437D-BB74-D1369606B246}"/>
    <hyperlink ref="AD6" r:id="rId2" display="https://www.fastenersplus.com/products/3-8-16-x-12-304-stainless-steel-threaded-rod?hsa_acc=3477180114&amp;hsa_cam=17323040100&amp;hsa_grp=1321615295633384&amp;hsa_ad=&amp;hsa_src=o&amp;hsa_tgt=dat-2334400624998458:loc-190&amp;hsa_kw=stainless-steel-threaded-rod&amp;hsa_mt=b&amp;hsa_net=adwords&amp;hsa_ver=3&amp;msclkid=3699006e4b3b19e8818c65153353e7a6&amp;utm_source=bing&amp;utm_medium=cpc&amp;utm_campaign=%23%23Dynamic%20Ads%20-%20Threaded%20Rod&amp;utm_term=stainless-steel-threaded-rod&amp;utm_content=Stainless%20Steel%20Threaded%20Rod" xr:uid="{55F80C2B-13B2-433B-9FE5-7D11E03AD6E9}"/>
    <hyperlink ref="AD43" r:id="rId3" location=":~:text=Thread%20Shear%20Area%3A%20A%20th%20%3D%200.5%20%CE%A0,1%20%2F%20Number%20of%20threads%20per%20mm%20%28n%29" display="https://www.engineersedge.com/thread_strength/thread_bolt_stress_area_iso.htm - :~:text=Thread%20Shear%20Area%3A%20A%20th%20%3D%200.5%20%CE%A0,1%20%2F%20Number%20of%20threads%20per%20mm%20%28n%29" xr:uid="{996B11ED-8A2E-4F8F-8F35-E1D05287D739}"/>
  </hyperlinks>
  <pageMargins left="0.7" right="0.7" top="0.75" bottom="0.75" header="0.3" footer="0.3"/>
  <drawing r:id="rId4"/>
  <tableParts count="2"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8076-2E2B-4B6A-A3AF-3096BBEF47B6}">
  <sheetPr>
    <tabColor rgb="FF7030A0"/>
  </sheetPr>
  <dimension ref="A1:R78"/>
  <sheetViews>
    <sheetView topLeftCell="A16" zoomScale="82" zoomScaleNormal="70" workbookViewId="0">
      <selection activeCell="G13" sqref="G13"/>
    </sheetView>
  </sheetViews>
  <sheetFormatPr defaultRowHeight="15" x14ac:dyDescent="0.25"/>
  <cols>
    <col min="1" max="1" width="17.85546875" customWidth="1"/>
    <col min="2" max="2" width="17.42578125" customWidth="1"/>
    <col min="3" max="3" width="16.140625" customWidth="1"/>
    <col min="4" max="4" width="22.140625" customWidth="1"/>
    <col min="5" max="5" width="17.42578125" customWidth="1"/>
    <col min="6" max="6" width="7.140625" customWidth="1"/>
    <col min="7" max="7" width="25.5703125" bestFit="1" customWidth="1"/>
    <col min="8" max="8" width="13.85546875" customWidth="1"/>
    <col min="9" max="9" width="19.140625" customWidth="1"/>
    <col min="10" max="10" width="18.42578125" customWidth="1"/>
    <col min="11" max="11" width="16.140625" customWidth="1"/>
    <col min="12" max="12" width="17.42578125" customWidth="1"/>
    <col min="13" max="13" width="13.85546875" customWidth="1"/>
    <col min="14" max="14" width="21" customWidth="1"/>
    <col min="15" max="15" width="14" customWidth="1"/>
    <col min="16" max="16" width="11.140625" customWidth="1"/>
    <col min="17" max="17" width="9.140625" bestFit="1" customWidth="1"/>
    <col min="18" max="18" width="17" bestFit="1" customWidth="1"/>
  </cols>
  <sheetData>
    <row r="1" spans="1:17" x14ac:dyDescent="0.25">
      <c r="A1" t="s">
        <v>260</v>
      </c>
      <c r="B1" t="s">
        <v>261</v>
      </c>
      <c r="C1" s="59">
        <v>45248</v>
      </c>
      <c r="D1" t="s">
        <v>262</v>
      </c>
      <c r="I1" s="56" t="s">
        <v>17</v>
      </c>
    </row>
    <row r="2" spans="1:17" x14ac:dyDescent="0.25">
      <c r="I2" s="53" t="s">
        <v>263</v>
      </c>
      <c r="J2" s="53" t="s">
        <v>264</v>
      </c>
      <c r="K2" s="53" t="s">
        <v>265</v>
      </c>
      <c r="L2" s="53" t="s">
        <v>266</v>
      </c>
      <c r="M2" s="53" t="s">
        <v>267</v>
      </c>
      <c r="N2" s="53" t="s">
        <v>268</v>
      </c>
      <c r="O2" s="53" t="s">
        <v>269</v>
      </c>
      <c r="P2" s="53" t="s">
        <v>270</v>
      </c>
      <c r="Q2" s="53"/>
    </row>
    <row r="3" spans="1:17" ht="19.5" customHeight="1" x14ac:dyDescent="0.25">
      <c r="A3" s="56" t="s">
        <v>18</v>
      </c>
      <c r="H3" s="54" t="s">
        <v>271</v>
      </c>
      <c r="I3" s="54">
        <v>108</v>
      </c>
      <c r="J3" s="54">
        <v>48</v>
      </c>
      <c r="K3" s="54"/>
      <c r="L3" s="54">
        <v>20</v>
      </c>
      <c r="M3" s="54"/>
      <c r="N3" s="81">
        <v>120</v>
      </c>
      <c r="O3" s="54">
        <v>60</v>
      </c>
      <c r="P3" s="54"/>
      <c r="Q3" s="54"/>
    </row>
    <row r="4" spans="1:17" ht="21.75" customHeight="1" thickBot="1" x14ac:dyDescent="0.35">
      <c r="A4" s="82" t="s">
        <v>272</v>
      </c>
      <c r="H4" s="57" t="s">
        <v>273</v>
      </c>
      <c r="I4" s="57">
        <f>I3*0.45359237</f>
        <v>48.98797596</v>
      </c>
      <c r="J4" s="57">
        <f>J3*0.0254</f>
        <v>1.2191999999999998</v>
      </c>
      <c r="K4" s="57">
        <v>9.81</v>
      </c>
      <c r="L4" s="57">
        <v>6.1569599999999998</v>
      </c>
      <c r="M4" s="57">
        <f>(J4/2)^2*PI()</f>
        <v>1.1674540318406346</v>
      </c>
      <c r="N4" s="57">
        <f>N3*0.0254</f>
        <v>3.048</v>
      </c>
      <c r="O4" s="57">
        <f>N4*0.5</f>
        <v>1.524</v>
      </c>
      <c r="P4" s="57">
        <f>O4^2*PI()</f>
        <v>7.2965876990039682</v>
      </c>
      <c r="Q4" s="57"/>
    </row>
    <row r="5" spans="1:17" ht="15.75" thickTop="1" x14ac:dyDescent="0.25">
      <c r="A5" s="53" t="s">
        <v>274</v>
      </c>
      <c r="B5" s="53" t="s">
        <v>275</v>
      </c>
      <c r="C5" s="53" t="s">
        <v>276</v>
      </c>
      <c r="D5" s="53" t="s">
        <v>277</v>
      </c>
      <c r="I5" t="s">
        <v>278</v>
      </c>
      <c r="J5" t="s">
        <v>173</v>
      </c>
      <c r="K5" s="58" t="s">
        <v>279</v>
      </c>
      <c r="L5" t="s">
        <v>280</v>
      </c>
      <c r="N5" t="s">
        <v>281</v>
      </c>
      <c r="O5">
        <f>O4^2*PI()</f>
        <v>7.2965876990039682</v>
      </c>
    </row>
    <row r="6" spans="1:17" ht="16.5" customHeight="1" x14ac:dyDescent="0.25">
      <c r="A6" s="55">
        <f>0.5*H8*I8^2*K8*L8</f>
        <v>4883.4656628007388</v>
      </c>
      <c r="B6" s="79">
        <f>A6*0.2248089431</f>
        <v>1097.8467543193751</v>
      </c>
      <c r="C6" s="54">
        <v>1.55</v>
      </c>
      <c r="D6" s="80">
        <f>B6*C6</f>
        <v>1701.6624691950315</v>
      </c>
    </row>
    <row r="7" spans="1:17" ht="36.75" customHeight="1" thickBot="1" x14ac:dyDescent="0.35">
      <c r="A7" s="82" t="s">
        <v>282</v>
      </c>
      <c r="H7" s="51" t="s">
        <v>283</v>
      </c>
      <c r="I7" s="51" t="s">
        <v>284</v>
      </c>
      <c r="J7" s="52" t="s">
        <v>285</v>
      </c>
      <c r="K7" s="52" t="s">
        <v>286</v>
      </c>
      <c r="L7" s="53" t="s">
        <v>287</v>
      </c>
      <c r="M7" s="52" t="s">
        <v>288</v>
      </c>
    </row>
    <row r="8" spans="1:17" ht="15.75" thickTop="1" x14ac:dyDescent="0.25">
      <c r="A8" s="53" t="s">
        <v>274</v>
      </c>
      <c r="B8" s="53" t="s">
        <v>275</v>
      </c>
      <c r="C8" s="53" t="s">
        <v>276</v>
      </c>
      <c r="D8" s="53" t="s">
        <v>277</v>
      </c>
      <c r="H8" s="54">
        <f>'In and Out'!C48</f>
        <v>1.0069999999999999</v>
      </c>
      <c r="I8" s="54">
        <f>G12*0.3048</f>
        <v>21.336000000000002</v>
      </c>
      <c r="J8" s="54">
        <v>0.97</v>
      </c>
      <c r="K8" s="54">
        <v>2.92</v>
      </c>
      <c r="L8" s="54">
        <f>O5</f>
        <v>7.2965876990039682</v>
      </c>
      <c r="M8" s="54">
        <v>16.459199999999999</v>
      </c>
    </row>
    <row r="9" spans="1:17" x14ac:dyDescent="0.25">
      <c r="A9" s="55">
        <f>0.5*H8*M8^2*J8*M4</f>
        <v>154.46441483416424</v>
      </c>
      <c r="B9" s="79">
        <f>A9*0.2248089431</f>
        <v>34.724981845428424</v>
      </c>
      <c r="C9" s="54">
        <v>1.5</v>
      </c>
      <c r="D9" s="80">
        <f>B9*C9</f>
        <v>52.087472768142632</v>
      </c>
    </row>
    <row r="10" spans="1:17" x14ac:dyDescent="0.25">
      <c r="I10">
        <v>22.86</v>
      </c>
    </row>
    <row r="11" spans="1:17" x14ac:dyDescent="0.25">
      <c r="G11" t="s">
        <v>542</v>
      </c>
      <c r="I11" s="54">
        <v>21.335999999999999</v>
      </c>
    </row>
    <row r="12" spans="1:17" x14ac:dyDescent="0.25">
      <c r="G12" s="81">
        <v>70</v>
      </c>
    </row>
    <row r="17" spans="1:8" x14ac:dyDescent="0.25">
      <c r="F17" t="s">
        <v>289</v>
      </c>
    </row>
    <row r="18" spans="1:8" x14ac:dyDescent="0.25">
      <c r="A18" s="61" t="s">
        <v>290</v>
      </c>
      <c r="B18" s="61" t="s">
        <v>291</v>
      </c>
    </row>
    <row r="19" spans="1:8" x14ac:dyDescent="0.25">
      <c r="A19" s="60"/>
      <c r="B19" s="60"/>
    </row>
    <row r="20" spans="1:8" x14ac:dyDescent="0.25">
      <c r="A20" s="60">
        <f>SQRT(8*I4*K3)/(3.14*K8*H8*J4^2)</f>
        <v>0</v>
      </c>
      <c r="B20" s="60">
        <f>((2*I4*K3)/(H8*K8*L4^2))-((3.14*J4^2)/4)</f>
        <v>-1.1668621823999998</v>
      </c>
    </row>
    <row r="31" spans="1:8" x14ac:dyDescent="0.25">
      <c r="H31" t="s">
        <v>292</v>
      </c>
    </row>
    <row r="33" spans="1:15" ht="30" x14ac:dyDescent="0.25">
      <c r="H33" s="23" t="s">
        <v>293</v>
      </c>
      <c r="I33" s="23" t="s">
        <v>294</v>
      </c>
      <c r="J33" s="23" t="s">
        <v>233</v>
      </c>
      <c r="K33" s="23" t="s">
        <v>295</v>
      </c>
      <c r="L33" s="23" t="s">
        <v>296</v>
      </c>
      <c r="M33" s="23" t="s">
        <v>297</v>
      </c>
      <c r="N33" s="23" t="s">
        <v>298</v>
      </c>
      <c r="O33" s="23" t="s">
        <v>276</v>
      </c>
    </row>
    <row r="34" spans="1:15" x14ac:dyDescent="0.25">
      <c r="A34" s="112" t="s">
        <v>299</v>
      </c>
      <c r="H34" s="111">
        <f>4+5/8</f>
        <v>4.625</v>
      </c>
      <c r="I34" s="111">
        <v>1</v>
      </c>
      <c r="J34" s="111">
        <v>0.125</v>
      </c>
      <c r="K34" s="113">
        <f>D6</f>
        <v>1701.6624691950315</v>
      </c>
      <c r="L34" s="113">
        <f>J34*((2*H34)+(2*I34))</f>
        <v>1.40625</v>
      </c>
      <c r="M34" s="111">
        <v>19000</v>
      </c>
      <c r="N34" s="114">
        <f>K34/L34</f>
        <v>1210.0710892053557</v>
      </c>
      <c r="O34" s="114">
        <f>M34/N34</f>
        <v>15.701556850248485</v>
      </c>
    </row>
    <row r="35" spans="1:15" x14ac:dyDescent="0.25">
      <c r="A35" s="2" t="s">
        <v>300</v>
      </c>
    </row>
    <row r="36" spans="1:15" x14ac:dyDescent="0.25">
      <c r="H36" t="s">
        <v>301</v>
      </c>
    </row>
    <row r="40" spans="1:15" x14ac:dyDescent="0.25">
      <c r="E40" s="132">
        <v>3300</v>
      </c>
      <c r="F40">
        <f>D6</f>
        <v>1701.6624691950315</v>
      </c>
      <c r="H40" s="238" t="s">
        <v>302</v>
      </c>
      <c r="I40" s="239"/>
    </row>
    <row r="41" spans="1:15" ht="30" x14ac:dyDescent="0.25">
      <c r="E41">
        <f>E40/F40</f>
        <v>1.9392800039605147</v>
      </c>
      <c r="H41" s="23" t="s">
        <v>303</v>
      </c>
      <c r="I41" s="23" t="s">
        <v>295</v>
      </c>
      <c r="J41" s="23" t="s">
        <v>304</v>
      </c>
      <c r="K41" s="152" t="s">
        <v>544</v>
      </c>
    </row>
    <row r="42" spans="1:15" x14ac:dyDescent="0.25">
      <c r="H42" s="111">
        <v>2000</v>
      </c>
      <c r="I42" s="113">
        <f>D6</f>
        <v>1701.6624691950315</v>
      </c>
      <c r="J42" s="114">
        <f>H42/K34</f>
        <v>1.1753212145215242</v>
      </c>
    </row>
    <row r="44" spans="1:15" x14ac:dyDescent="0.25">
      <c r="H44" s="238" t="s">
        <v>305</v>
      </c>
      <c r="I44" s="239"/>
    </row>
    <row r="45" spans="1:15" ht="45" x14ac:dyDescent="0.25">
      <c r="H45" s="23" t="s">
        <v>67</v>
      </c>
      <c r="I45" s="23" t="s">
        <v>210</v>
      </c>
      <c r="J45" s="23" t="s">
        <v>306</v>
      </c>
      <c r="K45" s="23" t="s">
        <v>204</v>
      </c>
      <c r="L45" s="23" t="s">
        <v>205</v>
      </c>
      <c r="M45" s="23" t="s">
        <v>211</v>
      </c>
      <c r="N45" s="90" t="s">
        <v>212</v>
      </c>
      <c r="O45" s="90" t="s">
        <v>307</v>
      </c>
    </row>
    <row r="46" spans="1:15" x14ac:dyDescent="0.25">
      <c r="H46" s="81" t="s">
        <v>214</v>
      </c>
      <c r="I46" s="25">
        <f>_xlfn.XLOOKUP(Table114[[#This Row],[Bolt Type]],Table10[Screw size/tpi],Table10[Dmajor (in)])</f>
        <v>0.25</v>
      </c>
      <c r="J46" s="25">
        <f>_xlfn.XLOOKUP(Table114[[#This Row],[Bolt Type]],Table10[Screw size/tpi],Table10[Dminor])</f>
        <v>0.19600000000000001</v>
      </c>
      <c r="K46" s="25">
        <f>_xlfn.XLOOKUP(Table114[[#This Row],[Bolt Type]],Table10[Screw size/tpi],Table10[Amajor])</f>
        <v>0.19634954084936207</v>
      </c>
      <c r="L46" s="25">
        <f>_xlfn.XLOOKUP(Table114[[#This Row],[Bolt Type]],Table10[Screw size/tpi],Table10[Aminor])</f>
        <v>0.12068742338030551</v>
      </c>
      <c r="M46" s="25">
        <f>_xlfn.XLOOKUP(Table114[[#This Row],[Bolt Type]],Table10[Screw size/tpi],Table10[Ultimae Shear Strength (lbf)])</f>
        <v>3020</v>
      </c>
      <c r="N46" s="89">
        <f>_xlfn.XLOOKUP(Table114[[#This Row],[Bolt Type]],Table10[Screw size/tpi],Table10[Ultimae Tensile Strength (lbf)])</f>
        <v>4610</v>
      </c>
      <c r="O46" s="89">
        <f>_xlfn.XLOOKUP(Table114[[#This Row],[Bolt Type]],Table10[Screw size/tpi],Table10[Threads Per Inch])</f>
        <v>28</v>
      </c>
    </row>
    <row r="48" spans="1:15" ht="30" x14ac:dyDescent="0.25">
      <c r="H48" s="23" t="s">
        <v>74</v>
      </c>
      <c r="I48" s="23" t="s">
        <v>308</v>
      </c>
      <c r="J48" s="23" t="s">
        <v>309</v>
      </c>
      <c r="K48" s="23" t="s">
        <v>310</v>
      </c>
    </row>
    <row r="49" spans="8:16" x14ac:dyDescent="0.25">
      <c r="H49" s="81">
        <v>10</v>
      </c>
      <c r="I49" s="81">
        <v>0.125</v>
      </c>
      <c r="J49" s="81">
        <v>5.9980000000000002</v>
      </c>
      <c r="K49" s="81">
        <v>5.82</v>
      </c>
    </row>
    <row r="51" spans="8:16" ht="45" x14ac:dyDescent="0.25">
      <c r="H51" s="64" t="s">
        <v>311</v>
      </c>
      <c r="I51" s="64" t="s">
        <v>295</v>
      </c>
      <c r="J51" s="64" t="s">
        <v>298</v>
      </c>
      <c r="K51" s="64" t="s">
        <v>74</v>
      </c>
      <c r="L51" s="64" t="s">
        <v>79</v>
      </c>
      <c r="M51" s="64" t="s">
        <v>205</v>
      </c>
      <c r="N51" s="23" t="s">
        <v>312</v>
      </c>
      <c r="O51" s="64" t="s">
        <v>211</v>
      </c>
      <c r="P51" s="23" t="s">
        <v>69</v>
      </c>
    </row>
    <row r="52" spans="8:16" x14ac:dyDescent="0.25">
      <c r="H52" s="25">
        <f>(PI()/4)*(J49^2-K49^2)</f>
        <v>1.6521667181155235</v>
      </c>
      <c r="I52" s="25">
        <f>D6</f>
        <v>1701.6624691950315</v>
      </c>
      <c r="J52" s="25">
        <f>I52/H52</f>
        <v>1029.958085062967</v>
      </c>
      <c r="K52" s="25">
        <f>H49</f>
        <v>10</v>
      </c>
      <c r="L52" s="25">
        <f>J52/K52</f>
        <v>102.9958085062967</v>
      </c>
      <c r="M52" s="25" cm="1">
        <f t="array" ref="M52">Table114[Aminor]</f>
        <v>0.12068742338030551</v>
      </c>
      <c r="N52" s="42">
        <f>L52*M52</f>
        <v>12.430298747596302</v>
      </c>
      <c r="O52" s="25" cm="1">
        <f t="array" ref="O52">Table114[Ultimate Shear Strength (lbf)]</f>
        <v>3020</v>
      </c>
      <c r="P52" s="42">
        <f>O52/N52</f>
        <v>242.95473997227862</v>
      </c>
    </row>
    <row r="62" spans="8:16" ht="45" x14ac:dyDescent="0.25">
      <c r="K62" s="23" t="s">
        <v>225</v>
      </c>
      <c r="L62" s="23" t="s">
        <v>68</v>
      </c>
      <c r="M62" s="23" t="s">
        <v>226</v>
      </c>
      <c r="N62" s="23" t="s">
        <v>87</v>
      </c>
      <c r="O62" s="23" t="s">
        <v>229</v>
      </c>
      <c r="P62" s="23" t="s">
        <v>88</v>
      </c>
    </row>
    <row r="63" spans="8:16" x14ac:dyDescent="0.25">
      <c r="K63" s="25" cm="1">
        <f t="array" ref="K63">Table114[Dmajor Bolts]</f>
        <v>0.25</v>
      </c>
      <c r="L63" s="25">
        <f>I49</f>
        <v>0.125</v>
      </c>
      <c r="M63" s="25">
        <f>N52</f>
        <v>12.430298747596302</v>
      </c>
      <c r="N63" s="27">
        <f>M63/(K63*L63)</f>
        <v>397.76955992308166</v>
      </c>
      <c r="O63" s="25"/>
      <c r="P63" s="27">
        <f>O63/N63</f>
        <v>0</v>
      </c>
    </row>
    <row r="64" spans="8:16" x14ac:dyDescent="0.25">
      <c r="P64" t="s">
        <v>313</v>
      </c>
    </row>
    <row r="66" spans="11:18" x14ac:dyDescent="0.25">
      <c r="L66" t="s">
        <v>314</v>
      </c>
    </row>
    <row r="67" spans="11:18" x14ac:dyDescent="0.25">
      <c r="K67" s="2" t="s">
        <v>315</v>
      </c>
    </row>
    <row r="69" spans="11:18" x14ac:dyDescent="0.25">
      <c r="K69" s="2" t="s">
        <v>316</v>
      </c>
    </row>
    <row r="70" spans="11:18" x14ac:dyDescent="0.25">
      <c r="K70" t="s">
        <v>317</v>
      </c>
    </row>
    <row r="77" spans="11:18" ht="60" x14ac:dyDescent="0.25">
      <c r="K77" s="23" t="s">
        <v>318</v>
      </c>
      <c r="L77" s="23" t="s">
        <v>319</v>
      </c>
      <c r="M77" s="23" t="s">
        <v>320</v>
      </c>
      <c r="N77" s="23" t="s">
        <v>321</v>
      </c>
      <c r="O77" s="64" t="s">
        <v>295</v>
      </c>
      <c r="P77" s="115" t="s">
        <v>322</v>
      </c>
      <c r="Q77" s="64" t="s">
        <v>211</v>
      </c>
      <c r="R77" s="23" t="s">
        <v>323</v>
      </c>
    </row>
    <row r="78" spans="11:18" x14ac:dyDescent="0.25">
      <c r="K78" s="88">
        <v>0.44</v>
      </c>
      <c r="L78" s="88" cm="1">
        <f t="array" ref="L78">Table114[Dmajor Bolts]</f>
        <v>0.25</v>
      </c>
      <c r="M78" s="25" cm="1">
        <f t="array" ref="M78">Table114[Thread Per In]</f>
        <v>28</v>
      </c>
      <c r="N78" s="42">
        <f>ABS( 0.5*PI()*K78*(L78-0.64952*M78))</f>
        <v>12.396860327867959</v>
      </c>
      <c r="O78" s="25">
        <f>D6</f>
        <v>1701.6624691950315</v>
      </c>
      <c r="P78">
        <f>O78/N78</f>
        <v>137.26559985270782</v>
      </c>
      <c r="Q78" s="88">
        <v>44000</v>
      </c>
      <c r="R78" s="42">
        <f>Q78/P78</f>
        <v>320.54644460967631</v>
      </c>
    </row>
  </sheetData>
  <mergeCells count="2">
    <mergeCell ref="H44:I44"/>
    <mergeCell ref="H40:I40"/>
  </mergeCells>
  <conditionalFormatting sqref="J42">
    <cfRule type="cellIs" dxfId="49" priority="5" operator="notEqual">
      <formula>0</formula>
    </cfRule>
    <cfRule type="cellIs" dxfId="48" priority="6" operator="equal">
      <formula>0</formula>
    </cfRule>
  </conditionalFormatting>
  <conditionalFormatting sqref="N52">
    <cfRule type="cellIs" dxfId="47" priority="11" operator="notEqual">
      <formula>0</formula>
    </cfRule>
    <cfRule type="cellIs" dxfId="46" priority="12" operator="equal">
      <formula>0</formula>
    </cfRule>
  </conditionalFormatting>
  <conditionalFormatting sqref="N63">
    <cfRule type="cellIs" dxfId="45" priority="9" operator="notEqual">
      <formula>0</formula>
    </cfRule>
    <cfRule type="cellIs" dxfId="44" priority="10" operator="equal">
      <formula>0</formula>
    </cfRule>
  </conditionalFormatting>
  <conditionalFormatting sqref="N78">
    <cfRule type="cellIs" dxfId="43" priority="3" operator="notEqual">
      <formula>0</formula>
    </cfRule>
    <cfRule type="cellIs" dxfId="42" priority="4" operator="equal">
      <formula>0</formula>
    </cfRule>
  </conditionalFormatting>
  <conditionalFormatting sqref="N34:O34">
    <cfRule type="cellIs" dxfId="41" priority="19" operator="notEqual">
      <formula>0</formula>
    </cfRule>
    <cfRule type="cellIs" dxfId="40" priority="20" operator="equal">
      <formula>0</formula>
    </cfRule>
  </conditionalFormatting>
  <conditionalFormatting sqref="P52">
    <cfRule type="cellIs" dxfId="39" priority="13" operator="notEqual">
      <formula>0</formula>
    </cfRule>
    <cfRule type="cellIs" dxfId="38" priority="14" operator="equal">
      <formula>0</formula>
    </cfRule>
  </conditionalFormatting>
  <conditionalFormatting sqref="P63">
    <cfRule type="cellIs" dxfId="37" priority="7" operator="notEqual">
      <formula>0</formula>
    </cfRule>
    <cfRule type="cellIs" dxfId="36" priority="8" operator="equal">
      <formula>0</formula>
    </cfRule>
  </conditionalFormatting>
  <conditionalFormatting sqref="R78">
    <cfRule type="cellIs" dxfId="35" priority="1" operator="notEqual">
      <formula>0</formula>
    </cfRule>
    <cfRule type="cellIs" dxfId="34" priority="2" operator="equal">
      <formula>0</formula>
    </cfRule>
  </conditionalFormatting>
  <hyperlinks>
    <hyperlink ref="A34" r:id="rId1" location=":~:text=The%20Answer%201%20D%20is%20the%20chute%20diameter,with%20the%20ground%20%283%20m%2Fs%20or%20less%29%20%0D" xr:uid="{C4606E73-DA37-4B4C-9168-44671F7FF99E}"/>
    <hyperlink ref="A35" r:id="rId2" location=":~:text=A%20third%20approach%20for%20calculating%20snatch%20force%20is,%2A%20r%20%2A%20vd2%20%2A%20Cd%20%2A%20Am" xr:uid="{3FAB783D-B46B-42C7-A4FB-FCB8405DB75D}"/>
    <hyperlink ref="K67" r:id="rId3" display="https://www.madcowrocketry.com/6-g12-coupler/" xr:uid="{0EDAD0AB-7648-4945-B082-BDB108509FB6}"/>
    <hyperlink ref="K69" r:id="rId4" display="https://www.laminatedplastics.com/fiberglasslaminates.pdf" xr:uid="{E4CBB0CB-C721-4CE5-A64D-A54997D10238}"/>
  </hyperlinks>
  <pageMargins left="0.7" right="0.7" top="0.75" bottom="0.75" header="0.3" footer="0.3"/>
  <drawing r:id="rId5"/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0218D80-7EE4-4C62-ACDD-0876BDBDE42A}">
          <x14:formula1>
            <xm:f>'Bolt Sizing'!$M$9:$M$16</xm:f>
          </x14:formula1>
          <xm:sqref>H46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D4804-16FD-42A5-8DBC-7449A750E636}">
  <sheetPr>
    <tabColor rgb="FF00B0F0"/>
  </sheetPr>
  <dimension ref="B2:AA83"/>
  <sheetViews>
    <sheetView zoomScale="88" zoomScaleNormal="100" workbookViewId="0">
      <selection activeCell="C7" sqref="C7"/>
    </sheetView>
  </sheetViews>
  <sheetFormatPr defaultRowHeight="15" x14ac:dyDescent="0.25"/>
  <cols>
    <col min="2" max="2" width="18.140625" customWidth="1"/>
    <col min="3" max="3" width="18" customWidth="1"/>
    <col min="4" max="5" width="17.85546875" customWidth="1"/>
    <col min="6" max="6" width="19.85546875" customWidth="1"/>
    <col min="7" max="7" width="18.42578125" customWidth="1"/>
    <col min="8" max="8" width="14.42578125" customWidth="1"/>
    <col min="9" max="9" width="13.140625" customWidth="1"/>
    <col min="10" max="10" width="13.85546875" customWidth="1"/>
    <col min="11" max="11" width="22" bestFit="1" customWidth="1"/>
    <col min="12" max="12" width="16.140625" customWidth="1"/>
    <col min="13" max="13" width="13.42578125" customWidth="1"/>
    <col min="15" max="15" width="25.5703125" bestFit="1" customWidth="1"/>
    <col min="16" max="16" width="12.85546875" customWidth="1"/>
  </cols>
  <sheetData>
    <row r="2" spans="2:10" x14ac:dyDescent="0.25">
      <c r="E2" s="1" t="s">
        <v>324</v>
      </c>
      <c r="H2" t="s">
        <v>324</v>
      </c>
    </row>
    <row r="3" spans="2:10" ht="45" x14ac:dyDescent="0.25">
      <c r="B3" s="62" t="s">
        <v>325</v>
      </c>
      <c r="C3" s="62" t="s">
        <v>326</v>
      </c>
      <c r="D3" s="63" t="s">
        <v>327</v>
      </c>
      <c r="E3" s="94" t="s">
        <v>328</v>
      </c>
      <c r="F3" s="95" t="s">
        <v>329</v>
      </c>
      <c r="G3" s="95" t="s">
        <v>330</v>
      </c>
      <c r="H3" s="95" t="s">
        <v>331</v>
      </c>
    </row>
    <row r="4" spans="2:10" ht="15" customHeight="1" x14ac:dyDescent="0.25">
      <c r="B4" s="50">
        <f>('In and Out'!O78) / (PI() * 'In and Out'!G52)</f>
        <v>1408.1291347053038</v>
      </c>
      <c r="C4" s="27">
        <f>('Snatch Force'!D6) / (PI() * 'In and Out'!G52)</f>
        <v>93.453413887629168</v>
      </c>
      <c r="D4" s="27">
        <f>'In and Out'!O52</f>
        <v>4.2229788415911358</v>
      </c>
      <c r="E4" s="96" t="e">
        <f>'Aero Force Calculations'!#REF!</f>
        <v>#REF!</v>
      </c>
      <c r="F4" s="97">
        <f>('In and Out'!P48*'Fin Flutter Calc'!C36) / ('Fin Flutter Calc'!C34)</f>
        <v>189.70395727683908</v>
      </c>
      <c r="G4" s="97">
        <f>('In and Out'!O61) / ('Laminator Calcs'!B8)</f>
        <v>395.18101958914906</v>
      </c>
      <c r="H4" s="97" t="e">
        <f>'Aero Force Calculations'!#REF!</f>
        <v>#REF!</v>
      </c>
    </row>
    <row r="7" spans="2:10" ht="30" x14ac:dyDescent="0.25">
      <c r="B7" s="65" t="s">
        <v>332</v>
      </c>
      <c r="C7" s="65" t="s">
        <v>333</v>
      </c>
      <c r="D7" s="65" t="s">
        <v>334</v>
      </c>
      <c r="F7" s="23" t="s">
        <v>86</v>
      </c>
    </row>
    <row r="8" spans="2:10" x14ac:dyDescent="0.25">
      <c r="B8" s="38">
        <v>44</v>
      </c>
      <c r="C8" s="38">
        <v>6</v>
      </c>
      <c r="D8" s="38">
        <v>1.0999999999999999E-2</v>
      </c>
      <c r="F8">
        <f>PI()*(((3+(('Laminator Calcs'!C8*'Laminator Calcs'!D8)))^2)-(3^2))</f>
        <v>1.2577554684205907</v>
      </c>
    </row>
    <row r="10" spans="2:10" ht="18" customHeight="1" x14ac:dyDescent="0.25"/>
    <row r="12" spans="2:10" ht="30" x14ac:dyDescent="0.25">
      <c r="B12" t="s">
        <v>335</v>
      </c>
      <c r="C12" t="s">
        <v>336</v>
      </c>
      <c r="E12" s="64" t="s">
        <v>337</v>
      </c>
      <c r="F12" s="84" t="s">
        <v>338</v>
      </c>
      <c r="G12" s="64" t="s">
        <v>339</v>
      </c>
      <c r="H12" s="84" t="s">
        <v>340</v>
      </c>
      <c r="I12" s="84" t="s">
        <v>341</v>
      </c>
    </row>
    <row r="13" spans="2:10" x14ac:dyDescent="0.25">
      <c r="B13">
        <v>1</v>
      </c>
      <c r="C13">
        <f>PI() * ('In and Out'!$G$52 + Table5[[#This Row],[Layer]]*$D$8)</f>
        <v>18.243228539395929</v>
      </c>
      <c r="E13" s="83">
        <f>C39</f>
        <v>165</v>
      </c>
      <c r="F13" s="85">
        <f>E13/35</f>
        <v>4.7142857142857144</v>
      </c>
      <c r="G13" s="86">
        <v>62.39</v>
      </c>
      <c r="H13" s="87">
        <f xml:space="preserve"> ROUND(F13*1.5, 0)</f>
        <v>7</v>
      </c>
      <c r="I13" s="85">
        <f>H13*C24</f>
        <v>32.076839090396888</v>
      </c>
    </row>
    <row r="14" spans="2:10" x14ac:dyDescent="0.25">
      <c r="B14">
        <v>2</v>
      </c>
      <c r="C14">
        <f>PI() * ('In and Out'!$G$52 + Table5[[#This Row],[Layer]]*$D$8)</f>
        <v>18.277786058585416</v>
      </c>
    </row>
    <row r="15" spans="2:10" x14ac:dyDescent="0.25">
      <c r="B15">
        <v>3</v>
      </c>
      <c r="C15">
        <f>PI() * ('In and Out'!$G$52 + Table5[[#This Row],[Layer]]*$D$8)</f>
        <v>18.312343577774907</v>
      </c>
    </row>
    <row r="16" spans="2:10" ht="30" x14ac:dyDescent="0.25">
      <c r="B16">
        <v>4</v>
      </c>
      <c r="C16">
        <f>PI() * ('In and Out'!$G$52 + Table5[[#This Row],[Layer]]*$D$8)</f>
        <v>18.346901096964391</v>
      </c>
      <c r="E16" s="64" t="s">
        <v>342</v>
      </c>
      <c r="F16" s="64" t="s">
        <v>343</v>
      </c>
      <c r="G16" s="64" t="s">
        <v>344</v>
      </c>
      <c r="H16" s="64" t="s">
        <v>345</v>
      </c>
      <c r="I16" s="64" t="s">
        <v>346</v>
      </c>
      <c r="J16" s="64" t="s">
        <v>347</v>
      </c>
    </row>
    <row r="17" spans="2:17" x14ac:dyDescent="0.25">
      <c r="B17">
        <v>5</v>
      </c>
      <c r="C17">
        <f>PI() * ('In and Out'!$G$52 + Table5[[#This Row],[Layer]]*$D$8)</f>
        <v>18.381458616153878</v>
      </c>
      <c r="E17" s="69">
        <f>G13*I13</f>
        <v>2001.2739908498618</v>
      </c>
      <c r="F17" s="69">
        <f>E17*0.85</f>
        <v>1701.0828922223825</v>
      </c>
      <c r="G17" s="69">
        <f>F17*1.07</f>
        <v>1820.1586946779494</v>
      </c>
      <c r="H17" s="70">
        <v>391</v>
      </c>
      <c r="I17" s="70">
        <v>157</v>
      </c>
      <c r="J17" s="69">
        <f>G17+H17+I17</f>
        <v>2368.1586946779494</v>
      </c>
    </row>
    <row r="18" spans="2:17" x14ac:dyDescent="0.25">
      <c r="B18">
        <v>6</v>
      </c>
      <c r="C18">
        <f>PI() * ('In and Out'!$G$52 + Table5[[#This Row],[Layer]]*$D$8)</f>
        <v>18.416016135343366</v>
      </c>
    </row>
    <row r="19" spans="2:17" x14ac:dyDescent="0.25">
      <c r="B19">
        <v>7</v>
      </c>
      <c r="E19" s="64" t="s">
        <v>348</v>
      </c>
    </row>
    <row r="20" spans="2:17" x14ac:dyDescent="0.25">
      <c r="B20">
        <v>8</v>
      </c>
      <c r="E20" s="69">
        <f>E17-F17</f>
        <v>300.19109862747928</v>
      </c>
    </row>
    <row r="22" spans="2:17" x14ac:dyDescent="0.25">
      <c r="B22" s="64" t="s">
        <v>38</v>
      </c>
      <c r="C22" s="27">
        <f>SUM(Table5[Circumference])</f>
        <v>109.9777340242179</v>
      </c>
    </row>
    <row r="23" spans="2:17" x14ac:dyDescent="0.25">
      <c r="B23" s="64" t="s">
        <v>349</v>
      </c>
      <c r="C23" s="27">
        <f>C22/36</f>
        <v>3.0549370562282747</v>
      </c>
    </row>
    <row r="24" spans="2:17" ht="30" x14ac:dyDescent="0.25">
      <c r="B24" s="64" t="s">
        <v>350</v>
      </c>
      <c r="C24" s="27">
        <f>C23*1.5</f>
        <v>4.5824055843424123</v>
      </c>
      <c r="J24" t="s">
        <v>301</v>
      </c>
    </row>
    <row r="25" spans="2:17" x14ac:dyDescent="0.25">
      <c r="D25" t="s">
        <v>351</v>
      </c>
      <c r="F25" t="s">
        <v>352</v>
      </c>
      <c r="G25" t="s">
        <v>353</v>
      </c>
      <c r="H25" t="s">
        <v>354</v>
      </c>
    </row>
    <row r="26" spans="2:17" x14ac:dyDescent="0.25">
      <c r="E26" t="s">
        <v>355</v>
      </c>
      <c r="F26">
        <v>5.3</v>
      </c>
    </row>
    <row r="27" spans="2:17" x14ac:dyDescent="0.25">
      <c r="D27" t="s">
        <v>356</v>
      </c>
      <c r="E27" t="s">
        <v>357</v>
      </c>
      <c r="F27">
        <v>10.28</v>
      </c>
      <c r="K27" s="109"/>
      <c r="L27" s="109"/>
      <c r="M27" s="109"/>
      <c r="N27" s="109"/>
      <c r="O27" s="109"/>
      <c r="P27" s="109"/>
      <c r="Q27" s="109"/>
    </row>
    <row r="28" spans="2:17" x14ac:dyDescent="0.25">
      <c r="E28" s="2" t="s">
        <v>358</v>
      </c>
      <c r="K28" s="100" t="s">
        <v>359</v>
      </c>
      <c r="L28" s="101">
        <v>6</v>
      </c>
      <c r="M28" s="101"/>
      <c r="N28" s="101"/>
      <c r="O28" s="101"/>
      <c r="P28" s="101"/>
      <c r="Q28" s="102"/>
    </row>
    <row r="29" spans="2:17" x14ac:dyDescent="0.25">
      <c r="B29" t="s">
        <v>360</v>
      </c>
      <c r="C29">
        <v>30</v>
      </c>
      <c r="D29" t="s">
        <v>361</v>
      </c>
      <c r="K29" s="103"/>
      <c r="Q29" s="104"/>
    </row>
    <row r="30" spans="2:17" x14ac:dyDescent="0.25">
      <c r="B30" t="s">
        <v>362</v>
      </c>
      <c r="C30">
        <v>3</v>
      </c>
      <c r="D30" t="s">
        <v>361</v>
      </c>
      <c r="K30" s="103"/>
      <c r="Q30" s="104"/>
    </row>
    <row r="31" spans="2:17" x14ac:dyDescent="0.25">
      <c r="B31" t="s">
        <v>363</v>
      </c>
      <c r="C31">
        <v>21</v>
      </c>
      <c r="D31" t="s">
        <v>361</v>
      </c>
      <c r="K31" t="s">
        <v>244</v>
      </c>
      <c r="L31" t="s">
        <v>364</v>
      </c>
      <c r="M31" t="s">
        <v>365</v>
      </c>
      <c r="O31" s="128"/>
      <c r="P31" s="128" t="s">
        <v>366</v>
      </c>
      <c r="Q31" s="151" t="s">
        <v>367</v>
      </c>
    </row>
    <row r="32" spans="2:17" x14ac:dyDescent="0.25">
      <c r="B32" t="s">
        <v>368</v>
      </c>
      <c r="C32">
        <v>19.5</v>
      </c>
      <c r="D32" t="s">
        <v>361</v>
      </c>
      <c r="K32" t="s">
        <v>360</v>
      </c>
      <c r="L32">
        <v>30</v>
      </c>
      <c r="M32">
        <f>L32*(L28/2)/36</f>
        <v>2.5</v>
      </c>
      <c r="O32" s="128" t="s">
        <v>369</v>
      </c>
      <c r="P32" s="128">
        <v>8.5</v>
      </c>
      <c r="Q32" s="151">
        <f>P32/36</f>
        <v>0.2361111111111111</v>
      </c>
    </row>
    <row r="33" spans="2:19" x14ac:dyDescent="0.25">
      <c r="B33" t="s">
        <v>370</v>
      </c>
      <c r="C33">
        <v>14</v>
      </c>
      <c r="D33" t="s">
        <v>361</v>
      </c>
      <c r="K33" t="s">
        <v>362</v>
      </c>
      <c r="L33">
        <v>2</v>
      </c>
      <c r="M33">
        <f>L33*3/36</f>
        <v>0.16666666666666666</v>
      </c>
      <c r="O33" s="128" t="s">
        <v>371</v>
      </c>
      <c r="P33" s="128"/>
      <c r="Q33" s="151">
        <f t="shared" ref="Q33" si="0">P33/36</f>
        <v>0</v>
      </c>
    </row>
    <row r="34" spans="2:19" x14ac:dyDescent="0.25">
      <c r="B34" t="s">
        <v>372</v>
      </c>
      <c r="C34">
        <v>40</v>
      </c>
      <c r="D34" t="s">
        <v>361</v>
      </c>
      <c r="K34" t="s">
        <v>373</v>
      </c>
      <c r="L34">
        <v>30</v>
      </c>
      <c r="M34">
        <f>L34*3/36</f>
        <v>2.5</v>
      </c>
      <c r="O34" s="128" t="s">
        <v>374</v>
      </c>
      <c r="P34" s="128"/>
      <c r="Q34" s="151">
        <f>P34/36</f>
        <v>0</v>
      </c>
    </row>
    <row r="35" spans="2:19" x14ac:dyDescent="0.25">
      <c r="B35" t="s">
        <v>369</v>
      </c>
      <c r="C35">
        <v>8.5</v>
      </c>
      <c r="D35" t="s">
        <v>375</v>
      </c>
      <c r="K35" t="s">
        <v>368</v>
      </c>
      <c r="L35">
        <v>25</v>
      </c>
      <c r="M35">
        <f t="shared" ref="M35:M36" si="1">L35*3/36</f>
        <v>2.0833333333333335</v>
      </c>
      <c r="Q35" s="104"/>
    </row>
    <row r="36" spans="2:19" x14ac:dyDescent="0.25">
      <c r="B36" t="s">
        <v>371</v>
      </c>
      <c r="C36">
        <v>8.5</v>
      </c>
      <c r="D36" t="s">
        <v>375</v>
      </c>
      <c r="K36" t="s">
        <v>370</v>
      </c>
      <c r="L36">
        <v>31</v>
      </c>
      <c r="M36">
        <f t="shared" si="1"/>
        <v>2.5833333333333335</v>
      </c>
      <c r="Q36" s="104"/>
    </row>
    <row r="37" spans="2:19" x14ac:dyDescent="0.25">
      <c r="B37" t="s">
        <v>374</v>
      </c>
      <c r="C37">
        <v>8.5</v>
      </c>
      <c r="D37" t="s">
        <v>375</v>
      </c>
      <c r="K37" t="s">
        <v>376</v>
      </c>
      <c r="L37" s="105">
        <v>44</v>
      </c>
      <c r="M37">
        <f>L37*3/36</f>
        <v>3.6666666666666665</v>
      </c>
      <c r="Q37" s="104"/>
    </row>
    <row r="38" spans="2:19" x14ac:dyDescent="0.25">
      <c r="B38" t="s">
        <v>377</v>
      </c>
      <c r="C38">
        <v>12</v>
      </c>
      <c r="D38" t="s">
        <v>378</v>
      </c>
      <c r="K38" t="s">
        <v>379</v>
      </c>
      <c r="L38">
        <f>SUM(L32:L37)</f>
        <v>162</v>
      </c>
      <c r="M38">
        <f>SUM(M32:M37)</f>
        <v>13.5</v>
      </c>
      <c r="O38" t="s">
        <v>380</v>
      </c>
      <c r="P38">
        <f>SUM(P32:P36)</f>
        <v>8.5</v>
      </c>
      <c r="Q38" s="104">
        <f>SUM(Q32:Q34)</f>
        <v>0.2361111111111111</v>
      </c>
      <c r="S38" t="e">
        <f>(#REF!+#REF!)*G13*1.5</f>
        <v>#REF!</v>
      </c>
    </row>
    <row r="39" spans="2:19" x14ac:dyDescent="0.25">
      <c r="C39" s="99">
        <f>SUM(C29:C38)</f>
        <v>165</v>
      </c>
      <c r="Q39" s="104"/>
    </row>
    <row r="40" spans="2:19" x14ac:dyDescent="0.25">
      <c r="K40" s="103"/>
      <c r="O40" t="s">
        <v>244</v>
      </c>
      <c r="P40" t="s">
        <v>366</v>
      </c>
      <c r="Q40" t="s">
        <v>367</v>
      </c>
    </row>
    <row r="41" spans="2:19" x14ac:dyDescent="0.25">
      <c r="K41" s="103" t="s">
        <v>535</v>
      </c>
      <c r="L41">
        <f>(M38+Q38)*1.5</f>
        <v>20.604166666666664</v>
      </c>
      <c r="O41" t="s">
        <v>382</v>
      </c>
      <c r="P41">
        <v>10.5</v>
      </c>
      <c r="Q41">
        <f>P41*4/36</f>
        <v>1.1666666666666667</v>
      </c>
    </row>
    <row r="42" spans="2:19" x14ac:dyDescent="0.25">
      <c r="K42" s="103" t="s">
        <v>536</v>
      </c>
      <c r="L42">
        <f>ROUNDUP(L41,0)</f>
        <v>21</v>
      </c>
      <c r="O42" t="s">
        <v>384</v>
      </c>
      <c r="P42">
        <v>8.5</v>
      </c>
      <c r="Q42">
        <f>P42*4/36</f>
        <v>0.94444444444444442</v>
      </c>
      <c r="S42">
        <f>49.9*1.5</f>
        <v>74.849999999999994</v>
      </c>
    </row>
    <row r="43" spans="2:19" x14ac:dyDescent="0.25">
      <c r="K43" s="103"/>
      <c r="O43" t="s">
        <v>389</v>
      </c>
      <c r="Q43">
        <f>SUM(Q41:Q42)</f>
        <v>2.1111111111111112</v>
      </c>
    </row>
    <row r="44" spans="2:19" x14ac:dyDescent="0.25">
      <c r="K44" s="103"/>
      <c r="Q44" s="150"/>
    </row>
    <row r="45" spans="2:19" x14ac:dyDescent="0.25">
      <c r="B45" t="s">
        <v>385</v>
      </c>
      <c r="D45" t="s">
        <v>386</v>
      </c>
      <c r="F45" t="s">
        <v>387</v>
      </c>
      <c r="K45" s="103"/>
      <c r="O45" t="s">
        <v>537</v>
      </c>
      <c r="P45">
        <f>Q43*1.5</f>
        <v>3.166666666666667</v>
      </c>
      <c r="Q45" s="150"/>
      <c r="S45">
        <f>2.5*G13*1.5</f>
        <v>233.96249999999998</v>
      </c>
    </row>
    <row r="46" spans="2:19" x14ac:dyDescent="0.25">
      <c r="B46">
        <f>C24*C39</f>
        <v>756.09692141649805</v>
      </c>
      <c r="D46">
        <f>B46/39.4</f>
        <v>19.190277193312134</v>
      </c>
      <c r="F46">
        <f>D46*1.5</f>
        <v>28.785415789968201</v>
      </c>
      <c r="K46" t="s">
        <v>381</v>
      </c>
      <c r="L46">
        <f>SUM(M38,Q38,Q43,Q49)</f>
        <v>18.950396825396822</v>
      </c>
      <c r="O46" t="s">
        <v>538</v>
      </c>
      <c r="P46">
        <f>ROUNDUP(P45,0)</f>
        <v>4</v>
      </c>
      <c r="Q46" s="150"/>
    </row>
    <row r="47" spans="2:19" x14ac:dyDescent="0.25">
      <c r="K47" t="s">
        <v>383</v>
      </c>
      <c r="L47">
        <f>L46*1.5</f>
        <v>28.425595238095234</v>
      </c>
      <c r="Q47" s="150"/>
    </row>
    <row r="48" spans="2:19" x14ac:dyDescent="0.25">
      <c r="K48" t="s">
        <v>388</v>
      </c>
      <c r="L48" s="147">
        <f>ROUNDUP(L47,0) + J75</f>
        <v>38</v>
      </c>
      <c r="P48" t="s">
        <v>366</v>
      </c>
      <c r="Q48" s="150" t="s">
        <v>390</v>
      </c>
    </row>
    <row r="49" spans="6:27" x14ac:dyDescent="0.25">
      <c r="F49" t="s">
        <v>391</v>
      </c>
      <c r="G49" t="s">
        <v>392</v>
      </c>
      <c r="H49" t="s">
        <v>393</v>
      </c>
      <c r="I49" t="s">
        <v>394</v>
      </c>
      <c r="K49" s="103"/>
      <c r="O49" t="s">
        <v>543</v>
      </c>
      <c r="P49">
        <f>(23*4)/7*8.5</f>
        <v>111.71428571428571</v>
      </c>
      <c r="Q49" s="150">
        <f>P49/36</f>
        <v>3.1031746031746028</v>
      </c>
      <c r="T49">
        <f>0.25/0.011</f>
        <v>22.72727272727273</v>
      </c>
    </row>
    <row r="50" spans="6:27" x14ac:dyDescent="0.25">
      <c r="F50" s="98">
        <f>F46*G13</f>
        <v>1795.922091136116</v>
      </c>
      <c r="G50" s="98">
        <f>F50*0.85</f>
        <v>1526.5337774656987</v>
      </c>
      <c r="H50" s="98">
        <f>G50*1.07</f>
        <v>1633.3911418882976</v>
      </c>
      <c r="I50" s="98">
        <f>H50+I17+H17</f>
        <v>2181.3911418882976</v>
      </c>
      <c r="K50" s="64" t="s">
        <v>339</v>
      </c>
      <c r="O50" t="s">
        <v>395</v>
      </c>
      <c r="Q50" s="150"/>
    </row>
    <row r="51" spans="6:27" x14ac:dyDescent="0.25">
      <c r="K51" s="70">
        <v>62.39</v>
      </c>
      <c r="Q51" s="150"/>
    </row>
    <row r="52" spans="6:27" x14ac:dyDescent="0.25">
      <c r="G52" t="s">
        <v>396</v>
      </c>
      <c r="K52" s="103"/>
      <c r="O52" t="s">
        <v>539</v>
      </c>
      <c r="P52">
        <f>Q49*1.5</f>
        <v>4.6547619047619042</v>
      </c>
      <c r="Q52" s="150"/>
      <c r="AA52">
        <f>3/36</f>
        <v>8.3333333333333329E-2</v>
      </c>
    </row>
    <row r="53" spans="6:27" x14ac:dyDescent="0.25">
      <c r="G53" s="98">
        <f>F50-G50</f>
        <v>269.38831367041735</v>
      </c>
      <c r="K53" s="149"/>
      <c r="O53" t="s">
        <v>540</v>
      </c>
      <c r="P53">
        <f>ROUNDUP(P52,0)</f>
        <v>5</v>
      </c>
      <c r="Q53" s="150"/>
    </row>
    <row r="54" spans="6:27" x14ac:dyDescent="0.25">
      <c r="K54" s="149"/>
      <c r="Q54" s="150"/>
    </row>
    <row r="55" spans="6:27" x14ac:dyDescent="0.25">
      <c r="K55" s="8"/>
      <c r="Q55" s="150"/>
    </row>
    <row r="56" spans="6:27" ht="30" x14ac:dyDescent="0.25">
      <c r="K56" s="106" t="s">
        <v>342</v>
      </c>
      <c r="L56" s="64" t="s">
        <v>343</v>
      </c>
      <c r="M56" s="64" t="s">
        <v>344</v>
      </c>
      <c r="N56" s="64" t="s">
        <v>345</v>
      </c>
      <c r="O56" s="64" t="s">
        <v>346</v>
      </c>
      <c r="P56" s="64" t="s">
        <v>347</v>
      </c>
      <c r="Q56" s="150"/>
      <c r="Z56">
        <f>1/36</f>
        <v>2.7777777777777776E-2</v>
      </c>
    </row>
    <row r="57" spans="6:27" x14ac:dyDescent="0.25">
      <c r="K57" s="107">
        <f>K51*L48</f>
        <v>2370.8200000000002</v>
      </c>
      <c r="L57" s="69">
        <f>K57*0.85</f>
        <v>2015.1970000000001</v>
      </c>
      <c r="M57" s="69">
        <f>L57*1.07</f>
        <v>2156.2607900000003</v>
      </c>
      <c r="N57" s="70">
        <v>391</v>
      </c>
      <c r="O57" s="70">
        <v>157</v>
      </c>
      <c r="P57" s="69">
        <f>M57+N57+O57</f>
        <v>2704.2607900000003</v>
      </c>
      <c r="Q57" s="104"/>
    </row>
    <row r="58" spans="6:27" x14ac:dyDescent="0.25">
      <c r="K58" s="103"/>
      <c r="Q58" s="104"/>
    </row>
    <row r="59" spans="6:27" x14ac:dyDescent="0.25">
      <c r="K59" s="106" t="s">
        <v>348</v>
      </c>
      <c r="Q59" s="104"/>
    </row>
    <row r="60" spans="6:27" x14ac:dyDescent="0.25">
      <c r="K60" s="108">
        <f>K57-L57</f>
        <v>355.62300000000005</v>
      </c>
      <c r="L60" s="109"/>
      <c r="M60" s="109"/>
      <c r="N60" s="109"/>
      <c r="O60" s="109"/>
      <c r="P60" s="109"/>
      <c r="Q60" s="110"/>
    </row>
    <row r="61" spans="6:27" x14ac:dyDescent="0.25">
      <c r="K61" s="98"/>
    </row>
    <row r="63" spans="6:27" x14ac:dyDescent="0.25">
      <c r="K63" s="109"/>
      <c r="L63" s="109"/>
      <c r="M63" s="109"/>
      <c r="N63" s="109"/>
      <c r="O63" s="109"/>
      <c r="P63" s="109"/>
      <c r="Q63" s="109"/>
    </row>
    <row r="66" spans="2:15" x14ac:dyDescent="0.25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</row>
    <row r="67" spans="2:15" x14ac:dyDescent="0.25">
      <c r="B67" s="24"/>
      <c r="C67" s="24"/>
      <c r="D67" s="24" t="s">
        <v>521</v>
      </c>
      <c r="E67" s="24" t="s">
        <v>334</v>
      </c>
      <c r="F67" s="24" t="s">
        <v>522</v>
      </c>
      <c r="G67" s="24"/>
      <c r="H67" s="24"/>
      <c r="I67" s="24"/>
      <c r="J67" s="24"/>
      <c r="K67" s="24"/>
      <c r="L67" s="24"/>
      <c r="M67" s="24"/>
      <c r="N67" s="24"/>
      <c r="O67" s="24"/>
    </row>
    <row r="68" spans="2:15" x14ac:dyDescent="0.25">
      <c r="B68" s="24"/>
      <c r="C68" s="24"/>
      <c r="D68" s="24">
        <v>6</v>
      </c>
      <c r="E68" s="24">
        <v>1.0999999999999999E-2</v>
      </c>
      <c r="F68" s="24">
        <v>8</v>
      </c>
      <c r="G68" s="24"/>
      <c r="H68" s="24"/>
      <c r="I68" s="24"/>
      <c r="J68" s="24"/>
      <c r="K68" s="24"/>
      <c r="L68" s="24"/>
      <c r="M68" s="24"/>
      <c r="N68" s="24"/>
      <c r="O68" s="24"/>
    </row>
    <row r="69" spans="2:15" x14ac:dyDescent="0.25"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</row>
    <row r="70" spans="2:15" ht="30" x14ac:dyDescent="0.25">
      <c r="B70" s="24"/>
      <c r="C70" s="24"/>
      <c r="D70" s="24" t="s">
        <v>523</v>
      </c>
      <c r="E70" s="24" t="s">
        <v>524</v>
      </c>
      <c r="F70" s="24" t="s">
        <v>336</v>
      </c>
      <c r="G70" s="24" t="s">
        <v>520</v>
      </c>
      <c r="H70" s="24" t="s">
        <v>38</v>
      </c>
      <c r="I70" s="24" t="s">
        <v>525</v>
      </c>
      <c r="J70" s="24" t="s">
        <v>526</v>
      </c>
      <c r="K70" s="24" t="s">
        <v>529</v>
      </c>
      <c r="L70" s="24" t="s">
        <v>528</v>
      </c>
      <c r="M70" s="24" t="s">
        <v>527</v>
      </c>
      <c r="N70" s="24"/>
      <c r="O70" s="24"/>
    </row>
    <row r="71" spans="2:15" x14ac:dyDescent="0.25">
      <c r="B71" s="24"/>
      <c r="C71" s="24"/>
      <c r="D71" s="24">
        <v>0</v>
      </c>
      <c r="E71" s="24">
        <f t="shared" ref="E71:E79" si="2">($D$68-($E$68*D71))</f>
        <v>6</v>
      </c>
      <c r="F71" s="24">
        <f>E71*PI()</f>
        <v>18.849555921538759</v>
      </c>
      <c r="G71" s="24">
        <f>E68*COUNT(D72:D79)</f>
        <v>8.7999999999999995E-2</v>
      </c>
      <c r="H71" s="24">
        <f>SUM(Table1820[Circumference])</f>
        <v>168.40193260302726</v>
      </c>
      <c r="I71" s="24">
        <f>H71*0.02777778</f>
        <v>4.6778318354217188</v>
      </c>
      <c r="J71" s="24">
        <v>39.4</v>
      </c>
      <c r="K71" s="24">
        <v>14</v>
      </c>
      <c r="L71" s="24">
        <v>1.25</v>
      </c>
      <c r="M71" s="24">
        <f>J71/(K71*L71)</f>
        <v>2.2514285714285713</v>
      </c>
      <c r="N71" s="24"/>
      <c r="O71" s="24"/>
    </row>
    <row r="72" spans="2:15" x14ac:dyDescent="0.25">
      <c r="B72" s="24"/>
      <c r="C72" s="24"/>
      <c r="D72" s="24">
        <v>1</v>
      </c>
      <c r="E72" s="24">
        <f t="shared" si="2"/>
        <v>5.9889999999999999</v>
      </c>
      <c r="F72" s="24">
        <f t="shared" ref="F72:F79" si="3">E72*PI()</f>
        <v>18.814998402349271</v>
      </c>
      <c r="G72" s="24"/>
      <c r="H72" s="24"/>
      <c r="I72" s="24"/>
      <c r="J72" s="24"/>
      <c r="K72" s="24"/>
      <c r="L72" s="24"/>
      <c r="M72" s="24"/>
      <c r="N72" s="24"/>
      <c r="O72" s="24"/>
    </row>
    <row r="73" spans="2:15" x14ac:dyDescent="0.25">
      <c r="B73" s="24"/>
      <c r="C73" s="24"/>
      <c r="D73" s="24">
        <v>2</v>
      </c>
      <c r="E73" s="24">
        <f t="shared" si="2"/>
        <v>5.9779999999999998</v>
      </c>
      <c r="F73" s="24">
        <f t="shared" si="3"/>
        <v>18.780440883159784</v>
      </c>
      <c r="G73" s="24"/>
      <c r="H73" s="24"/>
      <c r="I73" s="24"/>
      <c r="J73" s="24"/>
      <c r="K73" s="24"/>
      <c r="L73" s="24"/>
      <c r="M73" s="24"/>
      <c r="N73" s="24"/>
      <c r="O73" s="24"/>
    </row>
    <row r="74" spans="2:15" ht="30" x14ac:dyDescent="0.25">
      <c r="B74" s="24"/>
      <c r="C74" s="24"/>
      <c r="D74" s="24">
        <v>3</v>
      </c>
      <c r="E74" s="24">
        <f t="shared" si="2"/>
        <v>5.9669999999999996</v>
      </c>
      <c r="F74" s="24">
        <f t="shared" si="3"/>
        <v>18.745883363970293</v>
      </c>
      <c r="G74" s="24"/>
      <c r="H74" s="24" t="s">
        <v>530</v>
      </c>
      <c r="I74" s="24" t="s">
        <v>531</v>
      </c>
      <c r="J74" s="24" t="s">
        <v>534</v>
      </c>
      <c r="K74" s="24" t="s">
        <v>533</v>
      </c>
      <c r="L74" s="24" t="s">
        <v>532</v>
      </c>
      <c r="M74" s="24"/>
      <c r="N74" s="24"/>
      <c r="O74" s="24"/>
    </row>
    <row r="75" spans="2:15" x14ac:dyDescent="0.25">
      <c r="B75" s="24"/>
      <c r="C75" s="24"/>
      <c r="D75" s="24">
        <v>4</v>
      </c>
      <c r="E75" s="24">
        <f t="shared" si="2"/>
        <v>5.9560000000000004</v>
      </c>
      <c r="F75" s="24">
        <f t="shared" si="3"/>
        <v>18.711325844780809</v>
      </c>
      <c r="G75" s="24"/>
      <c r="H75" s="24">
        <v>4</v>
      </c>
      <c r="I75" s="24">
        <f>H75/2*(I71)</f>
        <v>9.3556636708434375</v>
      </c>
      <c r="J75" s="24">
        <f>ROUNDDOWN(I75,0)</f>
        <v>9</v>
      </c>
      <c r="K75" s="24">
        <v>62.39</v>
      </c>
      <c r="L75" s="148">
        <f>J75*K75</f>
        <v>561.51</v>
      </c>
      <c r="M75" s="24"/>
      <c r="N75" s="24"/>
      <c r="O75" s="24"/>
    </row>
    <row r="76" spans="2:15" x14ac:dyDescent="0.25">
      <c r="B76" s="24"/>
      <c r="C76" s="24"/>
      <c r="D76" s="24">
        <v>5</v>
      </c>
      <c r="E76" s="24">
        <f t="shared" si="2"/>
        <v>5.9450000000000003</v>
      </c>
      <c r="F76" s="24">
        <f t="shared" si="3"/>
        <v>18.676768325591322</v>
      </c>
      <c r="G76" s="24"/>
      <c r="H76" s="24"/>
      <c r="I76" s="24"/>
      <c r="J76" s="24"/>
      <c r="K76" s="24"/>
      <c r="L76" s="24"/>
      <c r="M76" s="24"/>
      <c r="N76" s="24"/>
      <c r="O76" s="24"/>
    </row>
    <row r="77" spans="2:15" x14ac:dyDescent="0.25">
      <c r="B77" s="24"/>
      <c r="C77" s="24"/>
      <c r="D77" s="24">
        <v>6</v>
      </c>
      <c r="E77" s="24">
        <f t="shared" si="2"/>
        <v>5.9340000000000002</v>
      </c>
      <c r="F77" s="24">
        <f t="shared" si="3"/>
        <v>18.642210806401835</v>
      </c>
      <c r="G77" s="24"/>
      <c r="H77" s="24"/>
      <c r="I77" s="24"/>
      <c r="J77" s="24"/>
      <c r="K77" s="24"/>
      <c r="L77" s="24"/>
      <c r="M77" s="24"/>
      <c r="N77" s="24"/>
      <c r="O77" s="24"/>
    </row>
    <row r="78" spans="2:15" x14ac:dyDescent="0.25">
      <c r="B78" s="24"/>
      <c r="C78" s="24"/>
      <c r="D78" s="24">
        <v>7</v>
      </c>
      <c r="E78" s="24">
        <f t="shared" si="2"/>
        <v>5.923</v>
      </c>
      <c r="F78" s="24">
        <f t="shared" si="3"/>
        <v>18.607653287212344</v>
      </c>
      <c r="G78" s="24"/>
      <c r="H78" s="24"/>
      <c r="I78" s="24"/>
      <c r="J78" s="24"/>
      <c r="K78" s="24"/>
      <c r="L78" s="24"/>
      <c r="M78" s="24"/>
      <c r="N78" s="24"/>
      <c r="O78" s="24"/>
    </row>
    <row r="79" spans="2:15" x14ac:dyDescent="0.25">
      <c r="B79" s="24"/>
      <c r="C79" s="24"/>
      <c r="D79" s="24">
        <v>8</v>
      </c>
      <c r="E79" s="24">
        <f t="shared" si="2"/>
        <v>5.9119999999999999</v>
      </c>
      <c r="F79" s="24">
        <f t="shared" si="3"/>
        <v>18.573095768022856</v>
      </c>
      <c r="G79" s="24"/>
      <c r="H79" s="24"/>
      <c r="I79" s="24"/>
      <c r="J79" s="24"/>
      <c r="K79" s="24"/>
      <c r="L79" s="24"/>
      <c r="M79" s="24"/>
      <c r="N79" s="24"/>
      <c r="O79" s="24"/>
    </row>
    <row r="80" spans="2:15" x14ac:dyDescent="0.25"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</row>
    <row r="81" spans="2:15" x14ac:dyDescent="0.25"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</row>
    <row r="82" spans="2:15" x14ac:dyDescent="0.25"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</row>
    <row r="83" spans="2:15" x14ac:dyDescent="0.25"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</row>
  </sheetData>
  <conditionalFormatting sqref="B4:H4 E17:G17 J17">
    <cfRule type="cellIs" dxfId="33" priority="27" operator="notEqual">
      <formula>0</formula>
    </cfRule>
    <cfRule type="cellIs" dxfId="32" priority="28" operator="equal">
      <formula>0</formula>
    </cfRule>
  </conditionalFormatting>
  <conditionalFormatting sqref="C22:C24">
    <cfRule type="cellIs" dxfId="31" priority="17" operator="notEqual">
      <formula>0</formula>
    </cfRule>
    <cfRule type="cellIs" dxfId="30" priority="18" operator="equal">
      <formula>0</formula>
    </cfRule>
  </conditionalFormatting>
  <conditionalFormatting sqref="E20">
    <cfRule type="cellIs" dxfId="29" priority="9" operator="notEqual">
      <formula>0</formula>
    </cfRule>
    <cfRule type="cellIs" dxfId="28" priority="10" operator="equal">
      <formula>0</formula>
    </cfRule>
  </conditionalFormatting>
  <conditionalFormatting sqref="F13">
    <cfRule type="cellIs" dxfId="27" priority="23" operator="notEqual">
      <formula>0</formula>
    </cfRule>
    <cfRule type="cellIs" dxfId="26" priority="24" operator="equal">
      <formula>0</formula>
    </cfRule>
  </conditionalFormatting>
  <conditionalFormatting sqref="H13:I13">
    <cfRule type="cellIs" dxfId="25" priority="11" operator="notEqual">
      <formula>0</formula>
    </cfRule>
    <cfRule type="cellIs" dxfId="24" priority="12" operator="equal">
      <formula>0</formula>
    </cfRule>
  </conditionalFormatting>
  <conditionalFormatting sqref="K60">
    <cfRule type="cellIs" dxfId="23" priority="1" operator="notEqual">
      <formula>0</formula>
    </cfRule>
    <cfRule type="cellIs" dxfId="22" priority="2" operator="equal">
      <formula>0</formula>
    </cfRule>
  </conditionalFormatting>
  <conditionalFormatting sqref="K57:M57 P57">
    <cfRule type="cellIs" dxfId="21" priority="3" operator="notEqual">
      <formula>0</formula>
    </cfRule>
    <cfRule type="cellIs" dxfId="20" priority="4" operator="equal">
      <formula>0</formula>
    </cfRule>
  </conditionalFormatting>
  <hyperlinks>
    <hyperlink ref="E28" r:id="rId1" xr:uid="{66081D95-5635-45F1-A1EC-B3D3935674EA}"/>
  </hyperlinks>
  <pageMargins left="0.7" right="0.7" top="0.75" bottom="0.75" header="0.3" footer="0.3"/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93BDB-9F92-4333-A5B0-6D54CF0E9B30}">
  <sheetPr>
    <tabColor rgb="FF7030A0"/>
  </sheetPr>
  <dimension ref="A3:L66"/>
  <sheetViews>
    <sheetView zoomScale="75" zoomScaleNormal="85" workbookViewId="0">
      <selection activeCell="I77" sqref="I77"/>
    </sheetView>
  </sheetViews>
  <sheetFormatPr defaultRowHeight="15" x14ac:dyDescent="0.25"/>
  <cols>
    <col min="1" max="1" width="17.85546875" customWidth="1"/>
    <col min="2" max="2" width="17.42578125" customWidth="1"/>
    <col min="3" max="3" width="16.140625" customWidth="1"/>
    <col min="4" max="4" width="22.140625" customWidth="1"/>
    <col min="5" max="5" width="17.42578125" customWidth="1"/>
    <col min="6" max="6" width="7.140625" customWidth="1"/>
    <col min="7" max="7" width="13.42578125" customWidth="1"/>
    <col min="8" max="8" width="13.85546875" customWidth="1"/>
    <col min="9" max="9" width="19.140625" customWidth="1"/>
    <col min="10" max="10" width="18.42578125" customWidth="1"/>
    <col min="11" max="11" width="16.140625" customWidth="1"/>
    <col min="12" max="12" width="17.42578125" customWidth="1"/>
    <col min="13" max="13" width="13.85546875" customWidth="1"/>
    <col min="14" max="14" width="21" customWidth="1"/>
    <col min="15" max="15" width="14" customWidth="1"/>
    <col min="16" max="16" width="11.140625" customWidth="1"/>
  </cols>
  <sheetData>
    <row r="3" spans="4:12" ht="19.5" customHeight="1" x14ac:dyDescent="0.25"/>
    <row r="4" spans="4:12" ht="21.75" customHeight="1" x14ac:dyDescent="0.25"/>
    <row r="6" spans="4:12" ht="16.5" customHeight="1" x14ac:dyDescent="0.25"/>
    <row r="7" spans="4:12" ht="36.75" customHeight="1" x14ac:dyDescent="0.25">
      <c r="D7" s="240" t="s">
        <v>17</v>
      </c>
      <c r="E7" s="240"/>
      <c r="F7" s="240"/>
    </row>
    <row r="8" spans="4:12" x14ac:dyDescent="0.25">
      <c r="D8" s="240"/>
      <c r="E8" s="240"/>
      <c r="F8" s="240"/>
    </row>
    <row r="10" spans="4:12" x14ac:dyDescent="0.25">
      <c r="D10" s="238" t="s">
        <v>305</v>
      </c>
      <c r="E10" s="239"/>
    </row>
    <row r="11" spans="4:12" ht="30" x14ac:dyDescent="0.25">
      <c r="D11" s="28" t="s">
        <v>67</v>
      </c>
      <c r="E11" s="28" t="s">
        <v>210</v>
      </c>
      <c r="F11" s="28" t="s">
        <v>306</v>
      </c>
      <c r="G11" s="28" t="s">
        <v>204</v>
      </c>
      <c r="H11" s="28" t="s">
        <v>205</v>
      </c>
      <c r="I11" s="28" t="s">
        <v>211</v>
      </c>
      <c r="J11" s="117" t="s">
        <v>212</v>
      </c>
      <c r="K11" s="117" t="s">
        <v>307</v>
      </c>
    </row>
    <row r="12" spans="4:12" x14ac:dyDescent="0.25">
      <c r="D12" s="81" t="s">
        <v>214</v>
      </c>
      <c r="E12" s="25">
        <f>_xlfn.XLOOKUP(Table1145[[#This Row],[Bolt Type]],Table10[Screw size/tpi],Table10[Dmajor (in)])</f>
        <v>0.25</v>
      </c>
      <c r="F12" s="25">
        <f>_xlfn.XLOOKUP(Table1145[[#This Row],[Bolt Type]],Table10[Screw size/tpi],Table10[Dminor])</f>
        <v>0.19600000000000001</v>
      </c>
      <c r="G12" s="25">
        <f>_xlfn.XLOOKUP(Table1145[[#This Row],[Bolt Type]],Table10[Screw size/tpi],Table10[Amajor])</f>
        <v>0.19634954084936207</v>
      </c>
      <c r="H12" s="25">
        <f>_xlfn.XLOOKUP(Table1145[[#This Row],[Bolt Type]],Table10[Screw size/tpi],Table10[Aminor])</f>
        <v>0.12068742338030551</v>
      </c>
      <c r="I12" s="25">
        <f>_xlfn.XLOOKUP(Table1145[[#This Row],[Bolt Type]],Table10[Screw size/tpi],Table10[Ultimae Shear Strength (lbf)])</f>
        <v>3020</v>
      </c>
      <c r="J12" s="89">
        <f>_xlfn.XLOOKUP(Table1145[[#This Row],[Bolt Type]],Table10[Screw size/tpi],Table10[Ultimae Tensile Strength (lbf)])</f>
        <v>4610</v>
      </c>
      <c r="K12" s="89">
        <f>_xlfn.XLOOKUP(Table1145[[#This Row],[Bolt Type]],Table10[Screw size/tpi],Table10[Threads Per Inch])</f>
        <v>28</v>
      </c>
    </row>
    <row r="14" spans="4:12" ht="45" x14ac:dyDescent="0.25">
      <c r="D14" s="28" t="s">
        <v>74</v>
      </c>
      <c r="E14" s="28" t="s">
        <v>308</v>
      </c>
      <c r="F14" s="28" t="s">
        <v>309</v>
      </c>
      <c r="G14" s="28" t="s">
        <v>310</v>
      </c>
      <c r="H14" s="28" t="s">
        <v>303</v>
      </c>
      <c r="I14" s="28" t="s">
        <v>293</v>
      </c>
      <c r="J14" s="28" t="s">
        <v>294</v>
      </c>
      <c r="K14" s="28" t="s">
        <v>397</v>
      </c>
      <c r="L14" s="28" t="s">
        <v>297</v>
      </c>
    </row>
    <row r="15" spans="4:12" x14ac:dyDescent="0.25">
      <c r="D15" s="81">
        <v>10</v>
      </c>
      <c r="E15" s="81">
        <v>0.125</v>
      </c>
      <c r="F15" s="81">
        <v>5.9980000000000002</v>
      </c>
      <c r="G15" s="81">
        <v>5.82</v>
      </c>
      <c r="H15" s="81">
        <v>2000</v>
      </c>
      <c r="I15" s="81">
        <f>4+5/8</f>
        <v>4.625</v>
      </c>
      <c r="J15" s="81">
        <v>1</v>
      </c>
      <c r="K15" s="81">
        <v>0.125</v>
      </c>
      <c r="L15" s="81">
        <v>19000</v>
      </c>
    </row>
    <row r="20" spans="4:12" x14ac:dyDescent="0.25">
      <c r="D20" s="238" t="s">
        <v>292</v>
      </c>
      <c r="E20" s="239"/>
    </row>
    <row r="21" spans="4:12" ht="90" x14ac:dyDescent="0.25">
      <c r="D21" s="28" t="s">
        <v>293</v>
      </c>
      <c r="E21" s="28" t="s">
        <v>294</v>
      </c>
      <c r="F21" s="28" t="s">
        <v>397</v>
      </c>
      <c r="G21" s="28" t="s">
        <v>295</v>
      </c>
      <c r="H21" s="28" t="s">
        <v>296</v>
      </c>
      <c r="I21" s="28" t="s">
        <v>297</v>
      </c>
      <c r="J21" s="28" t="s">
        <v>298</v>
      </c>
      <c r="K21" s="28" t="s">
        <v>276</v>
      </c>
    </row>
    <row r="22" spans="4:12" x14ac:dyDescent="0.25">
      <c r="D22" s="116">
        <f>I15</f>
        <v>4.625</v>
      </c>
      <c r="E22" s="116">
        <f>J15</f>
        <v>1</v>
      </c>
      <c r="F22" s="116">
        <f>K15</f>
        <v>0.125</v>
      </c>
      <c r="G22" s="116">
        <f>'Snatch Force'!B6</f>
        <v>1097.8467543193751</v>
      </c>
      <c r="H22" s="116">
        <f>F22*((2*D22)+(2*E22))</f>
        <v>1.40625</v>
      </c>
      <c r="I22" s="116">
        <f>L15</f>
        <v>19000</v>
      </c>
      <c r="J22" s="42">
        <f>G22/H22</f>
        <v>780.6910252937779</v>
      </c>
      <c r="K22" s="42">
        <f>I22/J22</f>
        <v>24.337413117885152</v>
      </c>
    </row>
    <row r="24" spans="4:12" x14ac:dyDescent="0.25">
      <c r="D24" t="s">
        <v>301</v>
      </c>
    </row>
    <row r="25" spans="4:12" x14ac:dyDescent="0.25">
      <c r="D25" s="238" t="s">
        <v>302</v>
      </c>
      <c r="E25" s="239"/>
    </row>
    <row r="26" spans="4:12" ht="30" x14ac:dyDescent="0.25">
      <c r="D26" s="28" t="s">
        <v>303</v>
      </c>
      <c r="E26" s="28" t="s">
        <v>295</v>
      </c>
      <c r="F26" s="28" t="s">
        <v>304</v>
      </c>
    </row>
    <row r="27" spans="4:12" x14ac:dyDescent="0.25">
      <c r="D27" s="116">
        <f>H15</f>
        <v>2000</v>
      </c>
      <c r="E27" s="116">
        <f>G22</f>
        <v>1097.8467543193751</v>
      </c>
      <c r="F27" s="42">
        <f>H15/G22</f>
        <v>1.8217478825083624</v>
      </c>
    </row>
    <row r="30" spans="4:12" ht="45" x14ac:dyDescent="0.25">
      <c r="D30" s="64" t="s">
        <v>311</v>
      </c>
      <c r="E30" s="64" t="s">
        <v>295</v>
      </c>
      <c r="F30" s="64" t="s">
        <v>298</v>
      </c>
      <c r="G30" s="64" t="s">
        <v>74</v>
      </c>
      <c r="H30" s="64" t="s">
        <v>79</v>
      </c>
      <c r="I30" s="64" t="s">
        <v>205</v>
      </c>
      <c r="J30" s="28" t="s">
        <v>312</v>
      </c>
      <c r="K30" s="64" t="s">
        <v>211</v>
      </c>
      <c r="L30" s="28" t="s">
        <v>69</v>
      </c>
    </row>
    <row r="31" spans="4:12" x14ac:dyDescent="0.25">
      <c r="D31" s="25">
        <f>(PI()/4)*(F15^2-G15^2)</f>
        <v>1.6521667181155235</v>
      </c>
      <c r="E31" s="25">
        <f>G22</f>
        <v>1097.8467543193751</v>
      </c>
      <c r="F31" s="25">
        <f>E31/D31</f>
        <v>664.48908713739809</v>
      </c>
      <c r="G31" s="25">
        <f>D15</f>
        <v>10</v>
      </c>
      <c r="H31" s="25">
        <f>F31/G31</f>
        <v>66.448908713739812</v>
      </c>
      <c r="I31" s="25" cm="1">
        <f t="array" ref="I31">Table1145[Aminor]</f>
        <v>0.12068742338030551</v>
      </c>
      <c r="J31" s="42">
        <f>H31*I31</f>
        <v>8.0195475790943895</v>
      </c>
      <c r="K31" s="25" cm="1">
        <f t="array" ref="K31">Table1145[Ultimate Shear Strength (lbf)]</f>
        <v>3020</v>
      </c>
      <c r="L31" s="42">
        <f>K31/J31</f>
        <v>376.5798469570318</v>
      </c>
    </row>
    <row r="34" spans="1:9" x14ac:dyDescent="0.25">
      <c r="A34" s="2"/>
    </row>
    <row r="35" spans="1:9" x14ac:dyDescent="0.25">
      <c r="A35" s="2"/>
    </row>
    <row r="47" spans="1:9" x14ac:dyDescent="0.25">
      <c r="H47" t="s">
        <v>398</v>
      </c>
    </row>
    <row r="48" spans="1:9" ht="75" x14ac:dyDescent="0.25">
      <c r="D48" s="28" t="s">
        <v>225</v>
      </c>
      <c r="E48" s="28" t="s">
        <v>68</v>
      </c>
      <c r="F48" s="28" t="s">
        <v>226</v>
      </c>
      <c r="G48" s="28" t="s">
        <v>87</v>
      </c>
      <c r="H48" s="28" t="s">
        <v>229</v>
      </c>
      <c r="I48" s="28" t="s">
        <v>88</v>
      </c>
    </row>
    <row r="49" spans="4:9" x14ac:dyDescent="0.25">
      <c r="D49" s="25" cm="1">
        <f t="array" ref="D49">Table1145[Dmajor Bolts]</f>
        <v>0.25</v>
      </c>
      <c r="E49" s="25">
        <f>E15</f>
        <v>0.125</v>
      </c>
      <c r="F49" s="25">
        <f>J31</f>
        <v>8.0195475790943895</v>
      </c>
      <c r="G49" s="27">
        <f>F49/(D49*E49)</f>
        <v>256.62552253102047</v>
      </c>
      <c r="H49" s="25"/>
      <c r="I49" s="27">
        <f>H49/G49</f>
        <v>0</v>
      </c>
    </row>
    <row r="52" spans="4:9" x14ac:dyDescent="0.25">
      <c r="E52" t="s">
        <v>314</v>
      </c>
    </row>
    <row r="53" spans="4:9" x14ac:dyDescent="0.25">
      <c r="D53" s="2" t="s">
        <v>315</v>
      </c>
    </row>
    <row r="55" spans="4:9" x14ac:dyDescent="0.25">
      <c r="D55" s="2" t="s">
        <v>316</v>
      </c>
    </row>
    <row r="56" spans="4:9" x14ac:dyDescent="0.25">
      <c r="D56" t="s">
        <v>317</v>
      </c>
    </row>
    <row r="65" spans="4:11" ht="45" x14ac:dyDescent="0.25">
      <c r="D65" s="28" t="s">
        <v>318</v>
      </c>
      <c r="E65" s="28" t="s">
        <v>319</v>
      </c>
      <c r="F65" s="28" t="s">
        <v>320</v>
      </c>
      <c r="G65" s="28" t="s">
        <v>321</v>
      </c>
      <c r="H65" s="64" t="s">
        <v>295</v>
      </c>
      <c r="I65" s="118" t="s">
        <v>322</v>
      </c>
      <c r="J65" s="64" t="s">
        <v>211</v>
      </c>
      <c r="K65" s="28" t="s">
        <v>323</v>
      </c>
    </row>
    <row r="66" spans="4:11" x14ac:dyDescent="0.25">
      <c r="D66" s="88">
        <v>0.44</v>
      </c>
      <c r="E66" s="88" cm="1">
        <f t="array" ref="E66">Table1145[Dmajor Bolts]</f>
        <v>0.25</v>
      </c>
      <c r="F66" s="25" cm="1">
        <f t="array" ref="F66">Table1145[Thread Per In]</f>
        <v>28</v>
      </c>
      <c r="G66" s="42">
        <f>ABS( 0.5*PI()*D66*(E66-0.64952/F66))</f>
        <v>0.15675488175889857</v>
      </c>
      <c r="H66" s="25">
        <f>G22</f>
        <v>1097.8467543193751</v>
      </c>
      <c r="I66">
        <f>H66/G66</f>
        <v>7003.5889281454756</v>
      </c>
      <c r="J66" s="88">
        <v>44000</v>
      </c>
      <c r="K66" s="42">
        <f>J66/I66</f>
        <v>6.2824932261766877</v>
      </c>
    </row>
  </sheetData>
  <mergeCells count="4">
    <mergeCell ref="D25:E25"/>
    <mergeCell ref="D10:E10"/>
    <mergeCell ref="D7:F8"/>
    <mergeCell ref="D20:E20"/>
  </mergeCells>
  <conditionalFormatting sqref="F27">
    <cfRule type="cellIs" dxfId="19" priority="5" operator="notEqual">
      <formula>0</formula>
    </cfRule>
    <cfRule type="cellIs" dxfId="18" priority="6" operator="equal">
      <formula>0</formula>
    </cfRule>
  </conditionalFormatting>
  <conditionalFormatting sqref="G49">
    <cfRule type="cellIs" dxfId="17" priority="9" operator="notEqual">
      <formula>0</formula>
    </cfRule>
    <cfRule type="cellIs" dxfId="16" priority="10" operator="equal">
      <formula>0</formula>
    </cfRule>
  </conditionalFormatting>
  <conditionalFormatting sqref="G66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I49">
    <cfRule type="cellIs" dxfId="13" priority="7" operator="notEqual">
      <formula>0</formula>
    </cfRule>
    <cfRule type="cellIs" dxfId="12" priority="8" operator="equal">
      <formula>0</formula>
    </cfRule>
  </conditionalFormatting>
  <conditionalFormatting sqref="J31">
    <cfRule type="cellIs" dxfId="11" priority="11" operator="notEqual">
      <formula>0</formula>
    </cfRule>
    <cfRule type="cellIs" dxfId="10" priority="12" operator="equal">
      <formula>0</formula>
    </cfRule>
  </conditionalFormatting>
  <conditionalFormatting sqref="J22:K22">
    <cfRule type="cellIs" dxfId="9" priority="15" operator="notEqual">
      <formula>0</formula>
    </cfRule>
    <cfRule type="cellIs" dxfId="8" priority="16" operator="equal">
      <formula>0</formula>
    </cfRule>
  </conditionalFormatting>
  <conditionalFormatting sqref="K66">
    <cfRule type="cellIs" dxfId="7" priority="1" operator="notEqual">
      <formula>0</formula>
    </cfRule>
    <cfRule type="cellIs" dxfId="6" priority="2" operator="equal">
      <formula>0</formula>
    </cfRule>
  </conditionalFormatting>
  <conditionalFormatting sqref="L31">
    <cfRule type="cellIs" dxfId="5" priority="13" operator="notEqual">
      <formula>0</formula>
    </cfRule>
    <cfRule type="cellIs" dxfId="4" priority="14" operator="equal">
      <formula>0</formula>
    </cfRule>
  </conditionalFormatting>
  <hyperlinks>
    <hyperlink ref="D53" r:id="rId1" display="https://www.madcowrocketry.com/6-g12-coupler/" xr:uid="{34543209-DB14-4378-83C9-CB1C0F662615}"/>
    <hyperlink ref="D55" r:id="rId2" display="https://www.laminatedplastics.com/fiberglasslaminates.pdf" xr:uid="{0B735B45-F41B-4D9F-B2C6-458C5391DFD4}"/>
  </hyperlinks>
  <pageMargins left="0.7" right="0.7" top="0.75" bottom="0.75" header="0.3" footer="0.3"/>
  <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E12E6E-16B3-4B7A-81FF-938D537B6CF2}">
          <x14:formula1>
            <xm:f>'Bolt Sizing'!$M$9:$M$16</xm:f>
          </x14:formula1>
          <xm:sqref>D12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B5578-0B25-4A85-8EAE-AAD46B57F05C}">
  <dimension ref="B5:G26"/>
  <sheetViews>
    <sheetView workbookViewId="0">
      <selection activeCell="E24" sqref="E24"/>
    </sheetView>
  </sheetViews>
  <sheetFormatPr defaultRowHeight="15" x14ac:dyDescent="0.25"/>
  <cols>
    <col min="1" max="1" width="17" bestFit="1" customWidth="1"/>
    <col min="2" max="2" width="22.5703125" bestFit="1" customWidth="1"/>
    <col min="3" max="3" width="30" bestFit="1" customWidth="1"/>
    <col min="4" max="4" width="25" bestFit="1" customWidth="1"/>
    <col min="5" max="5" width="20" bestFit="1" customWidth="1"/>
    <col min="6" max="6" width="22.42578125" bestFit="1" customWidth="1"/>
    <col min="7" max="8" width="18.5703125" bestFit="1" customWidth="1"/>
  </cols>
  <sheetData>
    <row r="5" spans="2:7" x14ac:dyDescent="0.25">
      <c r="B5" t="s">
        <v>399</v>
      </c>
      <c r="C5" t="s">
        <v>400</v>
      </c>
      <c r="D5" t="s">
        <v>401</v>
      </c>
      <c r="E5" t="s">
        <v>402</v>
      </c>
      <c r="G5" t="s">
        <v>403</v>
      </c>
    </row>
    <row r="6" spans="2:7" x14ac:dyDescent="0.25">
      <c r="B6" s="81">
        <v>9</v>
      </c>
      <c r="C6" s="81">
        <v>17</v>
      </c>
      <c r="D6" s="81">
        <v>0.125</v>
      </c>
      <c r="E6">
        <f>0.25*PI()*D6^2</f>
        <v>1.2271846303085129E-2</v>
      </c>
      <c r="F6" s="134">
        <v>10</v>
      </c>
      <c r="G6" t="e">
        <f>D11*SQRT((E6/E11)*C11/F6)</f>
        <v>#REF!</v>
      </c>
    </row>
    <row r="10" spans="2:7" x14ac:dyDescent="0.25">
      <c r="B10" t="s">
        <v>404</v>
      </c>
      <c r="C10" t="s">
        <v>405</v>
      </c>
      <c r="D10" t="s">
        <v>406</v>
      </c>
      <c r="E10" t="s">
        <v>407</v>
      </c>
      <c r="F10" t="s">
        <v>408</v>
      </c>
      <c r="G10" t="s">
        <v>408</v>
      </c>
    </row>
    <row r="11" spans="2:7" x14ac:dyDescent="0.25">
      <c r="B11" t="s">
        <v>409</v>
      </c>
      <c r="C11" t="e">
        <f>B6+SUM('Laminator Calcs'!#REF!)-'Vent Hole Calc'!C6</f>
        <v>#REF!</v>
      </c>
      <c r="D11">
        <v>6</v>
      </c>
      <c r="E11" t="e">
        <f>0.25*D11^2*C11</f>
        <v>#REF!</v>
      </c>
      <c r="F11" s="27" t="e">
        <f>(C11*(D11^2)*(0.004396^2))/$D$6^2</f>
        <v>#REF!</v>
      </c>
      <c r="G11" s="27" t="e">
        <f>ROUND(E11/100,1)</f>
        <v>#REF!</v>
      </c>
    </row>
    <row r="12" spans="2:7" x14ac:dyDescent="0.25">
      <c r="B12" t="s">
        <v>410</v>
      </c>
      <c r="C12">
        <v>11</v>
      </c>
      <c r="D12">
        <v>6</v>
      </c>
      <c r="E12">
        <f t="shared" ref="E12:E14" si="0">0.25*D12^2*C12</f>
        <v>99</v>
      </c>
      <c r="F12" s="27">
        <f t="shared" ref="F12:F14" si="1">(C12*(D12^2)*(0.004396^2))/$D$6^2</f>
        <v>0.48976813670399999</v>
      </c>
      <c r="G12" s="27">
        <f t="shared" ref="G12:G14" si="2">ROUND(E12/100,1)</f>
        <v>1</v>
      </c>
    </row>
    <row r="13" spans="2:7" x14ac:dyDescent="0.25">
      <c r="B13" t="s">
        <v>411</v>
      </c>
      <c r="C13">
        <v>14</v>
      </c>
      <c r="D13">
        <v>6</v>
      </c>
      <c r="E13">
        <f t="shared" si="0"/>
        <v>126</v>
      </c>
      <c r="F13" s="27">
        <f t="shared" si="1"/>
        <v>0.62334126489599995</v>
      </c>
      <c r="G13" s="27">
        <f t="shared" si="2"/>
        <v>1.3</v>
      </c>
    </row>
    <row r="14" spans="2:7" x14ac:dyDescent="0.25">
      <c r="B14" t="s">
        <v>412</v>
      </c>
      <c r="C14">
        <v>35</v>
      </c>
      <c r="D14">
        <v>6</v>
      </c>
      <c r="E14">
        <f t="shared" si="0"/>
        <v>315</v>
      </c>
      <c r="F14" s="27">
        <f t="shared" si="1"/>
        <v>1.55835316224</v>
      </c>
      <c r="G14" s="27">
        <f t="shared" si="2"/>
        <v>3.2</v>
      </c>
    </row>
    <row r="22" spans="2:3" x14ac:dyDescent="0.25">
      <c r="B22" t="str" cm="1">
        <f t="array" ref="B22:B26">B10:B14</f>
        <v>Compartment Name</v>
      </c>
      <c r="C22" t="str" cm="1">
        <f t="array" ref="C22:C26">G10:G14</f>
        <v>Number Of Vent Holes</v>
      </c>
    </row>
    <row r="23" spans="2:3" x14ac:dyDescent="0.25">
      <c r="B23" t="str">
        <v>Propulsion Bay</v>
      </c>
      <c r="C23" s="27" t="e">
        <v>#REF!</v>
      </c>
    </row>
    <row r="24" spans="2:3" x14ac:dyDescent="0.25">
      <c r="B24" t="str">
        <v>Drogue Bay</v>
      </c>
      <c r="C24" s="27">
        <v>1</v>
      </c>
    </row>
    <row r="25" spans="2:3" x14ac:dyDescent="0.25">
      <c r="B25" t="str">
        <v>Recovery Bay</v>
      </c>
      <c r="C25" s="27">
        <v>1.3</v>
      </c>
    </row>
    <row r="26" spans="2:3" x14ac:dyDescent="0.25">
      <c r="B26" t="str">
        <v>Main Bay</v>
      </c>
      <c r="C26" s="27">
        <v>3.2</v>
      </c>
    </row>
  </sheetData>
  <conditionalFormatting sqref="C23:C26">
    <cfRule type="cellIs" dxfId="3" priority="1" operator="notEqual">
      <formula>0</formula>
    </cfRule>
    <cfRule type="cellIs" dxfId="2" priority="2" operator="equal">
      <formula>0</formula>
    </cfRule>
  </conditionalFormatting>
  <conditionalFormatting sqref="F11:G14">
    <cfRule type="cellIs" dxfId="1" priority="3" operator="notEqual">
      <formula>0</formula>
    </cfRule>
    <cfRule type="cellIs" dxfId="0" priority="4" operator="equal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FDEBB-F321-4BCF-AC2D-0EFBAFA0D8DB}">
  <sheetPr>
    <tabColor rgb="FFFF0000"/>
  </sheetPr>
  <dimension ref="A1:P45"/>
  <sheetViews>
    <sheetView zoomScale="87" workbookViewId="0">
      <selection activeCell="B45" sqref="B45"/>
    </sheetView>
  </sheetViews>
  <sheetFormatPr defaultRowHeight="15" x14ac:dyDescent="0.25"/>
  <cols>
    <col min="1" max="1" width="10.140625" customWidth="1"/>
    <col min="2" max="2" width="13.140625" bestFit="1" customWidth="1"/>
    <col min="3" max="3" width="11.42578125" bestFit="1" customWidth="1"/>
    <col min="5" max="5" width="11.140625" customWidth="1"/>
    <col min="7" max="7" width="9.140625" bestFit="1" customWidth="1"/>
    <col min="8" max="8" width="10" customWidth="1"/>
  </cols>
  <sheetData>
    <row r="1" spans="1:16" x14ac:dyDescent="0.25">
      <c r="A1" t="s">
        <v>413</v>
      </c>
      <c r="C1" s="5">
        <f>0.5*(A3+B3)*C3</f>
        <v>27.599999999999998</v>
      </c>
      <c r="E1" t="s">
        <v>414</v>
      </c>
      <c r="G1" s="5">
        <f>E3^2/F3</f>
        <v>0.83478260869565224</v>
      </c>
      <c r="I1" t="s">
        <v>415</v>
      </c>
      <c r="K1" s="5">
        <f>J3/I3</f>
        <v>0.6428571428571429</v>
      </c>
      <c r="M1" t="s">
        <v>416</v>
      </c>
      <c r="P1" t="s">
        <v>417</v>
      </c>
    </row>
    <row r="2" spans="1:16" x14ac:dyDescent="0.25">
      <c r="A2" t="s">
        <v>418</v>
      </c>
      <c r="B2" t="s">
        <v>419</v>
      </c>
      <c r="C2" t="s">
        <v>420</v>
      </c>
      <c r="D2" t="s">
        <v>421</v>
      </c>
      <c r="E2" t="s">
        <v>420</v>
      </c>
      <c r="F2" t="s">
        <v>422</v>
      </c>
      <c r="I2" t="s">
        <v>418</v>
      </c>
      <c r="J2" t="s">
        <v>419</v>
      </c>
      <c r="M2" t="s">
        <v>423</v>
      </c>
    </row>
    <row r="3" spans="1:16" x14ac:dyDescent="0.25">
      <c r="A3" s="4">
        <v>7</v>
      </c>
      <c r="B3" s="4">
        <v>4.5</v>
      </c>
      <c r="C3" s="4">
        <v>4.8</v>
      </c>
      <c r="D3" s="4">
        <v>0.3</v>
      </c>
      <c r="E3" s="3">
        <f>C3</f>
        <v>4.8</v>
      </c>
      <c r="F3" s="3">
        <f>((A3+B3)/2)*C3</f>
        <v>27.599999999999998</v>
      </c>
      <c r="I3" s="3">
        <f>A3</f>
        <v>7</v>
      </c>
      <c r="J3" s="3">
        <f>B3</f>
        <v>4.5</v>
      </c>
      <c r="M3" s="4">
        <v>21000</v>
      </c>
      <c r="P3" s="4">
        <v>6040</v>
      </c>
    </row>
    <row r="5" spans="1:16" x14ac:dyDescent="0.25">
      <c r="A5" t="s">
        <v>424</v>
      </c>
      <c r="C5" s="5">
        <f>(2116/144)*((A7+459.7)/518.6)^5.256</f>
        <v>11.774704966631706</v>
      </c>
      <c r="E5" t="s">
        <v>425</v>
      </c>
    </row>
    <row r="6" spans="1:16" x14ac:dyDescent="0.25">
      <c r="A6" t="s">
        <v>426</v>
      </c>
      <c r="E6" t="s">
        <v>427</v>
      </c>
    </row>
    <row r="7" spans="1:16" x14ac:dyDescent="0.25">
      <c r="A7" s="3">
        <f>59-0.00356*P3</f>
        <v>37.497600000000006</v>
      </c>
      <c r="E7" s="3">
        <f>SQRT(1.4*1716.59*(A7+460))</f>
        <v>1093.4345738349414</v>
      </c>
    </row>
    <row r="11" spans="1:16" x14ac:dyDescent="0.25">
      <c r="G11" s="3" t="s">
        <v>428</v>
      </c>
      <c r="H11" s="3"/>
    </row>
    <row r="12" spans="1:16" x14ac:dyDescent="0.25">
      <c r="G12" s="3">
        <f>E7*SQRT(M3/((1.337*(G1^3)*C5*(K1+1))/(2*(G1+2)*((D3/A3)^3))))</f>
        <v>863.00127871690631</v>
      </c>
      <c r="H12" s="3"/>
    </row>
    <row r="31" spans="1:7" x14ac:dyDescent="0.25">
      <c r="A31" s="241" t="s">
        <v>17</v>
      </c>
      <c r="B31" s="241"/>
      <c r="C31" s="241"/>
      <c r="E31" s="241" t="s">
        <v>429</v>
      </c>
      <c r="F31" s="241"/>
      <c r="G31" s="241"/>
    </row>
    <row r="32" spans="1:7" x14ac:dyDescent="0.25">
      <c r="A32" s="6" t="s">
        <v>430</v>
      </c>
      <c r="B32" s="7" t="s">
        <v>431</v>
      </c>
      <c r="C32" s="8" t="s">
        <v>432</v>
      </c>
      <c r="E32" s="6" t="s">
        <v>430</v>
      </c>
      <c r="F32" s="7" t="s">
        <v>431</v>
      </c>
      <c r="G32" s="8" t="s">
        <v>432</v>
      </c>
    </row>
    <row r="33" spans="1:7" x14ac:dyDescent="0.25">
      <c r="A33" s="9" t="s">
        <v>433</v>
      </c>
      <c r="B33" s="10" t="s">
        <v>434</v>
      </c>
      <c r="C33" s="11">
        <f>'In and Out'!E48</f>
        <v>951</v>
      </c>
      <c r="E33" s="9" t="s">
        <v>435</v>
      </c>
      <c r="F33" s="10" t="s">
        <v>436</v>
      </c>
      <c r="G33" s="12">
        <f>0.5*(C35+C34)*C36</f>
        <v>29.900000000000002</v>
      </c>
    </row>
    <row r="34" spans="1:7" x14ac:dyDescent="0.25">
      <c r="A34" s="9" t="s">
        <v>418</v>
      </c>
      <c r="B34" s="10" t="s">
        <v>366</v>
      </c>
      <c r="C34" s="11">
        <v>7</v>
      </c>
      <c r="E34" s="9" t="s">
        <v>437</v>
      </c>
      <c r="F34" s="10" t="s">
        <v>438</v>
      </c>
      <c r="G34" s="12">
        <f>C35/C34</f>
        <v>0.6428571428571429</v>
      </c>
    </row>
    <row r="35" spans="1:7" x14ac:dyDescent="0.25">
      <c r="A35" s="9" t="s">
        <v>419</v>
      </c>
      <c r="B35" s="10" t="s">
        <v>366</v>
      </c>
      <c r="C35" s="11">
        <v>4.5</v>
      </c>
      <c r="E35" s="9" t="s">
        <v>439</v>
      </c>
      <c r="F35" s="10" t="s">
        <v>438</v>
      </c>
      <c r="G35" s="12">
        <f>(C36^2)/G33</f>
        <v>0.90434782608695652</v>
      </c>
    </row>
    <row r="36" spans="1:7" x14ac:dyDescent="0.25">
      <c r="A36" s="9" t="s">
        <v>440</v>
      </c>
      <c r="B36" s="10" t="s">
        <v>366</v>
      </c>
      <c r="C36" s="11">
        <v>5.2</v>
      </c>
      <c r="E36" s="9" t="s">
        <v>441</v>
      </c>
      <c r="F36" s="10" t="s">
        <v>442</v>
      </c>
      <c r="G36" s="12">
        <f>(59-0.00356*C38)</f>
        <v>36.572000000000003</v>
      </c>
    </row>
    <row r="37" spans="1:7" x14ac:dyDescent="0.25">
      <c r="A37" s="9" t="s">
        <v>421</v>
      </c>
      <c r="B37" s="10" t="s">
        <v>366</v>
      </c>
      <c r="C37" s="11">
        <v>0.16500000000000001</v>
      </c>
      <c r="E37" s="9" t="s">
        <v>443</v>
      </c>
      <c r="F37" s="10" t="s">
        <v>251</v>
      </c>
      <c r="G37" s="12">
        <f>(2116/144)*((G36+459.7)/(518.6))^5.256</f>
        <v>11.659947936626692</v>
      </c>
    </row>
    <row r="38" spans="1:7" ht="60" x14ac:dyDescent="0.25">
      <c r="A38" s="13" t="s">
        <v>444</v>
      </c>
      <c r="B38" s="10" t="s">
        <v>445</v>
      </c>
      <c r="C38" s="11">
        <v>6300</v>
      </c>
      <c r="E38" s="13" t="s">
        <v>446</v>
      </c>
      <c r="F38" s="10" t="s">
        <v>434</v>
      </c>
      <c r="G38" s="12">
        <f>SQRT(1.4*1716.59*(G36+460))</f>
        <v>1092.4169264854879</v>
      </c>
    </row>
    <row r="39" spans="1:7" ht="30" x14ac:dyDescent="0.25">
      <c r="A39" s="14" t="s">
        <v>447</v>
      </c>
      <c r="B39" s="15" t="s">
        <v>251</v>
      </c>
      <c r="C39" s="16">
        <v>560000</v>
      </c>
      <c r="E39" s="17" t="s">
        <v>448</v>
      </c>
      <c r="F39" s="18" t="s">
        <v>434</v>
      </c>
      <c r="G39" s="21">
        <f>G38*SQRT(C39/((1.337*(G35^3)*G37*(G34+1))/(2*(G35+2)*((C37/C34)^3))))</f>
        <v>1638.262324255048</v>
      </c>
    </row>
    <row r="40" spans="1:7" x14ac:dyDescent="0.25">
      <c r="E40" s="19" t="s">
        <v>223</v>
      </c>
      <c r="F40" s="20" t="s">
        <v>438</v>
      </c>
      <c r="G40" s="129">
        <f>G39/C33</f>
        <v>1.7226733167771273</v>
      </c>
    </row>
    <row r="42" spans="1:7" x14ac:dyDescent="0.25">
      <c r="A42" t="s">
        <v>449</v>
      </c>
      <c r="E42" s="2" t="s">
        <v>450</v>
      </c>
    </row>
    <row r="45" spans="1:7" x14ac:dyDescent="0.25">
      <c r="B45" s="71">
        <v>3861100000</v>
      </c>
      <c r="E45" t="s">
        <v>541</v>
      </c>
      <c r="F45">
        <f>C37/0.011</f>
        <v>15.000000000000002</v>
      </c>
    </row>
  </sheetData>
  <mergeCells count="2">
    <mergeCell ref="A31:C31"/>
    <mergeCell ref="E31:G31"/>
  </mergeCells>
  <hyperlinks>
    <hyperlink ref="E42" r:id="rId1" xr:uid="{A01B2CD7-9C59-4544-B65C-3040B90AF9EA}"/>
  </hyperlinks>
  <pageMargins left="0.7" right="0.7" top="0.75" bottom="0.75" header="0.3" footer="0.3"/>
  <drawing r:id="rId2"/>
  <tableParts count="2"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BCB9544C94BC43A40E0674914F2D51" ma:contentTypeVersion="16" ma:contentTypeDescription="Create a new document." ma:contentTypeScope="" ma:versionID="fcb2334b52758e0a4baf4b7fd970ed72">
  <xsd:schema xmlns:xsd="http://www.w3.org/2001/XMLSchema" xmlns:xs="http://www.w3.org/2001/XMLSchema" xmlns:p="http://schemas.microsoft.com/office/2006/metadata/properties" xmlns:ns2="fca1c4f3-d681-402f-b626-0f91a669d29d" xmlns:ns3="e61501b5-6672-46ce-9efd-ef0babf2add9" targetNamespace="http://schemas.microsoft.com/office/2006/metadata/properties" ma:root="true" ma:fieldsID="3daf256b7032c396c6bbcad4adc3c78b" ns2:_="" ns3:_="">
    <xsd:import namespace="fca1c4f3-d681-402f-b626-0f91a669d29d"/>
    <xsd:import namespace="e61501b5-6672-46ce-9efd-ef0babf2add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Flow_SignoffStatu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a1c4f3-d681-402f-b626-0f91a669d29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bf7b5ae4-1fed-458d-a46a-fb3872b6e4ce}" ma:internalName="TaxCatchAll" ma:showField="CatchAllData" ma:web="fca1c4f3-d681-402f-b626-0f91a669d2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1501b5-6672-46ce-9efd-ef0babf2ad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ed757968-b5e0-43bf-af52-13bc706514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1501b5-6672-46ce-9efd-ef0babf2add9">
      <Terms xmlns="http://schemas.microsoft.com/office/infopath/2007/PartnerControls"/>
    </lcf76f155ced4ddcb4097134ff3c332f>
    <TaxCatchAll xmlns="fca1c4f3-d681-402f-b626-0f91a669d29d" xsi:nil="true"/>
    <_Flow_SignoffStatus xmlns="e61501b5-6672-46ce-9efd-ef0babf2add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09F2E8-0F5A-439A-92F1-80E4AD1AB7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a1c4f3-d681-402f-b626-0f91a669d29d"/>
    <ds:schemaRef ds:uri="e61501b5-6672-46ce-9efd-ef0babf2ad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C83D15-2A25-44C9-A428-EF96504104F5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e61501b5-6672-46ce-9efd-ef0babf2add9"/>
    <ds:schemaRef ds:uri="fca1c4f3-d681-402f-b626-0f91a669d29d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E0423E4-A103-4AB0-8990-815E2458975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 and Out</vt:lpstr>
      <vt:lpstr>Aero Force Calculations</vt:lpstr>
      <vt:lpstr>Bolt Sizing</vt:lpstr>
      <vt:lpstr>Strut Sizing</vt:lpstr>
      <vt:lpstr>Snatch Force</vt:lpstr>
      <vt:lpstr>Laminator Calcs</vt:lpstr>
      <vt:lpstr>U-bolt Calcs</vt:lpstr>
      <vt:lpstr>Vent Hole Calc</vt:lpstr>
      <vt:lpstr>Fin Flutter Calc</vt:lpstr>
      <vt:lpstr>G10 Ammount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Sophie Riccio</dc:creator>
  <cp:keywords/>
  <dc:description/>
  <cp:lastModifiedBy>Kyler Marciel</cp:lastModifiedBy>
  <cp:revision/>
  <dcterms:created xsi:type="dcterms:W3CDTF">2023-10-24T18:51:32Z</dcterms:created>
  <dcterms:modified xsi:type="dcterms:W3CDTF">2025-03-30T21:29:39Z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0x010100C7BCB9544C94BC43A40E0674914F2D51</vt:lpwstr>
  </property>
  <property fmtid="{D5CDD505-2E9C-101B-9397-08002B2CF9AE}" pid="3" name="MediaServiceImageTags">
    <vt:lpwstr/>
  </property>
</Properties>
</file>